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6180" windowWidth="9720" windowHeight="2640" tabRatio="787" activeTab="1"/>
  </bookViews>
  <sheets>
    <sheet name="НВВ ТЭ 19" sheetId="51" r:id="rId1"/>
    <sheet name="НВВ ТН" sheetId="52" r:id="rId2"/>
  </sheets>
  <externalReferences>
    <externalReference r:id="rId3"/>
    <externalReference r:id="rId4"/>
    <externalReference r:id="rId5"/>
  </externalReferences>
  <definedNames>
    <definedName name="бис">#REF!</definedName>
    <definedName name="кан">#REF!</definedName>
    <definedName name="кот">#REF!</definedName>
    <definedName name="кот1">#REF!</definedName>
    <definedName name="_xlnm.Print_Area" localSheetId="1">'НВВ ТН'!$A$1:$K$52</definedName>
    <definedName name="_xlnm.Print_Area" localSheetId="0">'НВВ ТЭ 19'!$A$4:$K$342</definedName>
    <definedName name="Тел_в">#REF!</definedName>
    <definedName name="Тел_т">#REF!</definedName>
  </definedNames>
  <calcPr calcId="125725"/>
</workbook>
</file>

<file path=xl/calcChain.xml><?xml version="1.0" encoding="utf-8"?>
<calcChain xmlns="http://schemas.openxmlformats.org/spreadsheetml/2006/main">
  <c r="F50" i="52"/>
  <c r="B50"/>
  <c r="G175" i="51"/>
  <c r="G327"/>
  <c r="F332"/>
  <c r="G330"/>
  <c r="F16" i="52"/>
  <c r="G263" i="51"/>
  <c r="G290" s="1"/>
  <c r="G311" s="1"/>
  <c r="H267"/>
  <c r="I267"/>
  <c r="J267"/>
  <c r="F326"/>
  <c r="F290"/>
  <c r="F271"/>
  <c r="F263"/>
  <c r="G267"/>
  <c r="F98"/>
  <c r="G98"/>
  <c r="G136"/>
  <c r="G137"/>
  <c r="G151"/>
  <c r="G336"/>
  <c r="G61"/>
  <c r="G323"/>
  <c r="K43" i="52"/>
  <c r="K34"/>
  <c r="K16"/>
  <c r="G135" i="51"/>
  <c r="G170"/>
  <c r="G231"/>
  <c r="G141"/>
  <c r="G142"/>
  <c r="G143"/>
  <c r="G109"/>
  <c r="F15" i="52"/>
  <c r="F14"/>
  <c r="F23"/>
  <c r="F22"/>
  <c r="F8"/>
  <c r="E43"/>
  <c r="E34"/>
  <c r="F34" s="1"/>
  <c r="E28"/>
  <c r="F28" s="1"/>
  <c r="E25"/>
  <c r="E17"/>
  <c r="E14"/>
  <c r="E13"/>
  <c r="F13" s="1"/>
  <c r="E12"/>
  <c r="F12" s="1"/>
  <c r="E8"/>
  <c r="E7"/>
  <c r="G230" i="51"/>
  <c r="G232"/>
  <c r="G229"/>
  <c r="G177"/>
  <c r="G172"/>
  <c r="G171" s="1"/>
  <c r="G173"/>
  <c r="G147"/>
  <c r="G127"/>
  <c r="G126" s="1"/>
  <c r="G111"/>
  <c r="G108"/>
  <c r="G106"/>
  <c r="G48"/>
  <c r="G45"/>
  <c r="F212"/>
  <c r="F70"/>
  <c r="G168"/>
  <c r="F171"/>
  <c r="F167"/>
  <c r="F140"/>
  <c r="F111"/>
  <c r="G35"/>
  <c r="G271" l="1"/>
  <c r="F7" i="52"/>
  <c r="F43"/>
  <c r="G167" i="51"/>
  <c r="G140"/>
  <c r="G39" l="1"/>
  <c r="E29" i="52"/>
  <c r="E23"/>
  <c r="E15"/>
  <c r="E6"/>
  <c r="E11"/>
  <c r="E10" s="1"/>
  <c r="F256" i="51"/>
  <c r="F228"/>
  <c r="F104"/>
  <c r="E26" i="52" l="1"/>
  <c r="E5" s="1"/>
  <c r="E39" s="1"/>
  <c r="E42" s="1"/>
  <c r="E44" l="1"/>
  <c r="G70" i="51" l="1"/>
  <c r="F47" l="1"/>
  <c r="F44"/>
  <c r="F335" s="1"/>
  <c r="F336" l="1"/>
  <c r="E230"/>
  <c r="E232"/>
  <c r="F34"/>
  <c r="E336"/>
  <c r="E335"/>
  <c r="E331"/>
  <c r="E327"/>
  <c r="E325"/>
  <c r="E323"/>
  <c r="E48"/>
  <c r="E45"/>
  <c r="E39"/>
  <c r="E35"/>
  <c r="E311"/>
  <c r="E212"/>
  <c r="E177"/>
  <c r="E176"/>
  <c r="E175" s="1"/>
  <c r="E169"/>
  <c r="E167" s="1"/>
  <c r="E162"/>
  <c r="E153"/>
  <c r="E151"/>
  <c r="E147"/>
  <c r="E145"/>
  <c r="E140"/>
  <c r="E136"/>
  <c r="E135"/>
  <c r="E128"/>
  <c r="E127"/>
  <c r="E112"/>
  <c r="E109"/>
  <c r="E108"/>
  <c r="F46" i="52"/>
  <c r="F334" i="51" l="1"/>
  <c r="F32"/>
  <c r="F11" s="1"/>
  <c r="J9" i="52"/>
  <c r="G11"/>
  <c r="G15"/>
  <c r="J15" s="1"/>
  <c r="J18"/>
  <c r="J19"/>
  <c r="J20"/>
  <c r="J21"/>
  <c r="J22"/>
  <c r="G24"/>
  <c r="G25"/>
  <c r="J25" s="1"/>
  <c r="J27"/>
  <c r="J30"/>
  <c r="J31"/>
  <c r="J32"/>
  <c r="J33"/>
  <c r="J35"/>
  <c r="J36"/>
  <c r="J37"/>
  <c r="G38"/>
  <c r="J38" s="1"/>
  <c r="J40"/>
  <c r="G46"/>
  <c r="J46" s="1"/>
  <c r="J44"/>
  <c r="G43"/>
  <c r="J43" s="1"/>
  <c r="J41"/>
  <c r="F26"/>
  <c r="F11"/>
  <c r="F6"/>
  <c r="F9" i="51" l="1"/>
  <c r="F61" s="1"/>
  <c r="F81" s="1"/>
  <c r="F80" s="1"/>
  <c r="G23" i="52"/>
  <c r="G26" s="1"/>
  <c r="J26" s="1"/>
  <c r="J24"/>
  <c r="J11"/>
  <c r="G6"/>
  <c r="F176" i="51" l="1"/>
  <c r="F60"/>
  <c r="J23" i="52"/>
  <c r="J6"/>
  <c r="F333" i="51" l="1"/>
  <c r="F205"/>
  <c r="F175"/>
  <c r="F174" s="1"/>
  <c r="F324"/>
  <c r="F322"/>
  <c r="F168"/>
  <c r="F150"/>
  <c r="F146"/>
  <c r="F126"/>
  <c r="F110"/>
  <c r="F166" l="1"/>
  <c r="F156"/>
  <c r="F154" s="1"/>
  <c r="F144" s="1"/>
  <c r="F308" s="1"/>
  <c r="F309" l="1"/>
  <c r="H337"/>
  <c r="D335"/>
  <c r="E324"/>
  <c r="D324"/>
  <c r="J323"/>
  <c r="E322"/>
  <c r="D322"/>
  <c r="D311"/>
  <c r="J311"/>
  <c r="J270"/>
  <c r="J269"/>
  <c r="J268"/>
  <c r="J265"/>
  <c r="J264"/>
  <c r="J263"/>
  <c r="J262"/>
  <c r="J261"/>
  <c r="J260"/>
  <c r="J258"/>
  <c r="J257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D228"/>
  <c r="J227"/>
  <c r="J226"/>
  <c r="J225"/>
  <c r="J224"/>
  <c r="J223"/>
  <c r="G217"/>
  <c r="G215"/>
  <c r="E205"/>
  <c r="D213"/>
  <c r="D212" s="1"/>
  <c r="D205" s="1"/>
  <c r="J211"/>
  <c r="J210"/>
  <c r="J209"/>
  <c r="J208"/>
  <c r="J207"/>
  <c r="J206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D176"/>
  <c r="D175" s="1"/>
  <c r="D174" s="1"/>
  <c r="E174"/>
  <c r="J170"/>
  <c r="J169"/>
  <c r="D167"/>
  <c r="D154"/>
  <c r="J153"/>
  <c r="E150"/>
  <c r="D150"/>
  <c r="D146"/>
  <c r="D140"/>
  <c r="J139"/>
  <c r="J138"/>
  <c r="J137"/>
  <c r="D135"/>
  <c r="D126" s="1"/>
  <c r="J134"/>
  <c r="J133"/>
  <c r="J132"/>
  <c r="J131"/>
  <c r="J130"/>
  <c r="J129"/>
  <c r="E126"/>
  <c r="E111"/>
  <c r="E156" s="1"/>
  <c r="E154" s="1"/>
  <c r="D111"/>
  <c r="D110" s="1"/>
  <c r="E107"/>
  <c r="D107"/>
  <c r="E104"/>
  <c r="D104"/>
  <c r="J89"/>
  <c r="J88"/>
  <c r="J87"/>
  <c r="J86"/>
  <c r="J85"/>
  <c r="J84"/>
  <c r="J83"/>
  <c r="J82"/>
  <c r="D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D61"/>
  <c r="D60" s="1"/>
  <c r="J59"/>
  <c r="J58"/>
  <c r="J57"/>
  <c r="J56"/>
  <c r="J55"/>
  <c r="J54"/>
  <c r="J53"/>
  <c r="J52"/>
  <c r="J51"/>
  <c r="J50"/>
  <c r="J49"/>
  <c r="J46"/>
  <c r="J43"/>
  <c r="J41"/>
  <c r="J39"/>
  <c r="J38"/>
  <c r="J36"/>
  <c r="E34"/>
  <c r="D34"/>
  <c r="J33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0"/>
  <c r="E334" l="1"/>
  <c r="E333" s="1"/>
  <c r="E32"/>
  <c r="E11" s="1"/>
  <c r="E9" s="1"/>
  <c r="E144"/>
  <c r="E308" s="1"/>
  <c r="D98"/>
  <c r="D307" s="1"/>
  <c r="D334"/>
  <c r="D333" s="1"/>
  <c r="D32"/>
  <c r="D11" s="1"/>
  <c r="D9" s="1"/>
  <c r="E110"/>
  <c r="E98" s="1"/>
  <c r="E307" s="1"/>
  <c r="G213"/>
  <c r="D144"/>
  <c r="D308" s="1"/>
  <c r="E166"/>
  <c r="D166"/>
  <c r="D309" s="1"/>
  <c r="G322"/>
  <c r="J322" s="1"/>
  <c r="J290"/>
  <c r="D316" l="1"/>
  <c r="E309"/>
  <c r="E316" s="1"/>
  <c r="E328" s="1"/>
  <c r="E271"/>
  <c r="E285" s="1"/>
  <c r="D271"/>
  <c r="D285" s="1"/>
  <c r="J213"/>
  <c r="D328"/>
  <c r="D326" s="1"/>
  <c r="D329" s="1"/>
  <c r="D332" s="1"/>
  <c r="D337" s="1"/>
  <c r="D318"/>
  <c r="E326" l="1"/>
  <c r="E329" s="1"/>
  <c r="E332" s="1"/>
  <c r="E337" s="1"/>
  <c r="H343" s="1"/>
  <c r="E318"/>
  <c r="G228" l="1"/>
  <c r="G212" l="1"/>
  <c r="J228"/>
  <c r="J45"/>
  <c r="G44" l="1"/>
  <c r="J44" s="1"/>
  <c r="G205"/>
  <c r="J212"/>
  <c r="J205" l="1"/>
  <c r="G335"/>
  <c r="J335" s="1"/>
  <c r="J336"/>
  <c r="J35"/>
  <c r="G34"/>
  <c r="G47" l="1"/>
  <c r="J47" s="1"/>
  <c r="J48"/>
  <c r="G334"/>
  <c r="J34"/>
  <c r="G32" l="1"/>
  <c r="G9" s="1"/>
  <c r="J334"/>
  <c r="G333"/>
  <c r="J333" s="1"/>
  <c r="J32" l="1"/>
  <c r="G11"/>
  <c r="J11" l="1"/>
  <c r="J9"/>
  <c r="G81" l="1"/>
  <c r="J61"/>
  <c r="G60"/>
  <c r="G80" l="1"/>
  <c r="J81"/>
  <c r="J60"/>
  <c r="G176" l="1"/>
  <c r="J176"/>
  <c r="J80"/>
  <c r="G174" l="1"/>
  <c r="J175"/>
  <c r="G166" l="1"/>
  <c r="J174"/>
  <c r="F107"/>
  <c r="J136"/>
  <c r="G14" i="52" l="1"/>
  <c r="J128" i="51"/>
  <c r="J162"/>
  <c r="G28" i="52" l="1"/>
  <c r="J28" s="1"/>
  <c r="J113" i="51"/>
  <c r="J14" i="52"/>
  <c r="G10"/>
  <c r="J10" s="1"/>
  <c r="J108" i="51"/>
  <c r="J109"/>
  <c r="J112"/>
  <c r="G324"/>
  <c r="J324" s="1"/>
  <c r="J325"/>
  <c r="G150"/>
  <c r="J150" s="1"/>
  <c r="J151"/>
  <c r="G146"/>
  <c r="J147"/>
  <c r="F285" l="1"/>
  <c r="F307"/>
  <c r="F10" i="52"/>
  <c r="F17"/>
  <c r="J146" i="51"/>
  <c r="J111"/>
  <c r="G156"/>
  <c r="G110"/>
  <c r="G107"/>
  <c r="F316" l="1"/>
  <c r="F328" s="1"/>
  <c r="F329" s="1"/>
  <c r="F337" s="1"/>
  <c r="J110"/>
  <c r="G104"/>
  <c r="J104" s="1"/>
  <c r="J107"/>
  <c r="G154"/>
  <c r="J156"/>
  <c r="J127"/>
  <c r="F318" l="1"/>
  <c r="J145"/>
  <c r="J154"/>
  <c r="G144"/>
  <c r="G308" l="1"/>
  <c r="J308" s="1"/>
  <c r="J144"/>
  <c r="J135" l="1"/>
  <c r="J126" s="1"/>
  <c r="J166" l="1"/>
  <c r="J167" l="1"/>
  <c r="J259" l="1"/>
  <c r="G256"/>
  <c r="J256" l="1"/>
  <c r="G309"/>
  <c r="J309" s="1"/>
  <c r="F29" i="52"/>
  <c r="J140" i="51"/>
  <c r="F5" i="52" l="1"/>
  <c r="F39" s="1"/>
  <c r="F42" s="1"/>
  <c r="G34"/>
  <c r="J34" s="1"/>
  <c r="G307" i="51"/>
  <c r="J98"/>
  <c r="F44" i="52" l="1"/>
  <c r="G316" i="51"/>
  <c r="G331" s="1"/>
  <c r="G29" i="52"/>
  <c r="J29" s="1"/>
  <c r="J271" i="51"/>
  <c r="G285"/>
  <c r="J285" s="1"/>
  <c r="J307"/>
  <c r="F45" i="52" l="1"/>
  <c r="F47" s="1"/>
  <c r="F48" s="1"/>
  <c r="J331" i="51"/>
  <c r="G5" i="52"/>
  <c r="J5" s="1"/>
  <c r="G328" i="51"/>
  <c r="G318"/>
  <c r="J318" s="1"/>
  <c r="J316"/>
  <c r="G39" i="52" l="1"/>
  <c r="J328" i="51"/>
  <c r="J39" i="52" l="1"/>
  <c r="G42"/>
  <c r="J42" l="1"/>
  <c r="G45"/>
  <c r="J45" l="1"/>
  <c r="G47"/>
  <c r="G48" s="1"/>
  <c r="G326" i="51" l="1"/>
  <c r="J327"/>
  <c r="J326" l="1"/>
  <c r="G329"/>
  <c r="G332" l="1"/>
  <c r="J329"/>
  <c r="G337" l="1"/>
  <c r="J332"/>
</calcChain>
</file>

<file path=xl/sharedStrings.xml><?xml version="1.0" encoding="utf-8"?>
<sst xmlns="http://schemas.openxmlformats.org/spreadsheetml/2006/main" count="1167" uniqueCount="615">
  <si>
    <t>№</t>
  </si>
  <si>
    <t>Ед. изм.</t>
  </si>
  <si>
    <t>Гкал</t>
  </si>
  <si>
    <t>%</t>
  </si>
  <si>
    <t>тыс.руб.</t>
  </si>
  <si>
    <t>чел.</t>
  </si>
  <si>
    <t>тыс. руб.</t>
  </si>
  <si>
    <t>№ п/п</t>
  </si>
  <si>
    <t>Прибыль</t>
  </si>
  <si>
    <t>1.3.</t>
  </si>
  <si>
    <t>1.3.1.</t>
  </si>
  <si>
    <t>1.4.</t>
  </si>
  <si>
    <t>-</t>
  </si>
  <si>
    <t>Охрана труда</t>
  </si>
  <si>
    <t>Примечание</t>
  </si>
  <si>
    <t>Электроэнергия</t>
  </si>
  <si>
    <t>Население</t>
  </si>
  <si>
    <t>Прочие</t>
  </si>
  <si>
    <t>Потери</t>
  </si>
  <si>
    <t>Наименование организации</t>
  </si>
  <si>
    <t>Расчёт необходимой валовой выручки для формирования тарифов на тепловую энергию на 2017 год методом индексации установленных тарифов (компенсация потерь)</t>
  </si>
  <si>
    <t>Является ли плательщиком НДС? (Да/Нет)</t>
  </si>
  <si>
    <t>Наименование показателя</t>
  </si>
  <si>
    <t>Фактические данные 2015 год</t>
  </si>
  <si>
    <t>Прогноз по заключению Службы</t>
  </si>
  <si>
    <t>отклонение (предложение предприятие от прогноза Службы)</t>
  </si>
  <si>
    <t>Примечания</t>
  </si>
  <si>
    <t>2017 год</t>
  </si>
  <si>
    <t>2018 год</t>
  </si>
  <si>
    <t>I</t>
  </si>
  <si>
    <t>Натуральные показатели</t>
  </si>
  <si>
    <t>1</t>
  </si>
  <si>
    <t>Выработка тепловой энергии</t>
  </si>
  <si>
    <t>2</t>
  </si>
  <si>
    <t>Расход тепла на собственные нужды котельной</t>
  </si>
  <si>
    <t>Отпуск в сеть</t>
  </si>
  <si>
    <t>4</t>
  </si>
  <si>
    <t>Получено тепла со стороны</t>
  </si>
  <si>
    <t>4.1</t>
  </si>
  <si>
    <t>в т.ч. на собственное произодственное потребление</t>
  </si>
  <si>
    <t>4.2</t>
  </si>
  <si>
    <t xml:space="preserve">населению </t>
  </si>
  <si>
    <t>4.2.1</t>
  </si>
  <si>
    <t>на отопление</t>
  </si>
  <si>
    <t>4.2.1.1</t>
  </si>
  <si>
    <t>норматив на отопление</t>
  </si>
  <si>
    <r>
      <t>Гкал/м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 мес.</t>
    </r>
  </si>
  <si>
    <t>4.2.1.2</t>
  </si>
  <si>
    <t>отапливаемая площадь</t>
  </si>
  <si>
    <r>
      <t>м</t>
    </r>
    <r>
      <rPr>
        <vertAlign val="superscript"/>
        <sz val="10"/>
        <rFont val="Times New Roman"/>
        <family val="1"/>
        <charset val="204"/>
      </rPr>
      <t>2</t>
    </r>
  </si>
  <si>
    <t>4.2.1.3</t>
  </si>
  <si>
    <t>мес.</t>
  </si>
  <si>
    <t>4.2.2</t>
  </si>
  <si>
    <t>на горячее водоснабжение</t>
  </si>
  <si>
    <t>4.2.2.1</t>
  </si>
  <si>
    <t>норматив на ГВС</t>
  </si>
  <si>
    <t>Гкал/чел./мес.</t>
  </si>
  <si>
    <t>4.2.2.2</t>
  </si>
  <si>
    <r>
      <t>количества тепла на подогрев 1 м</t>
    </r>
    <r>
      <rPr>
        <vertAlign val="superscript"/>
        <sz val="10"/>
        <rFont val="Times New Roman"/>
        <family val="1"/>
        <charset val="204"/>
      </rPr>
      <t>3</t>
    </r>
  </si>
  <si>
    <r>
      <t>Гкал/м</t>
    </r>
    <r>
      <rPr>
        <vertAlign val="superscript"/>
        <sz val="10"/>
        <rFont val="Times New Roman"/>
        <family val="1"/>
        <charset val="204"/>
      </rPr>
      <t>3</t>
    </r>
  </si>
  <si>
    <t>4.2.2.3</t>
  </si>
  <si>
    <t>количество пользующихся ГВС</t>
  </si>
  <si>
    <t>4.2.2.4</t>
  </si>
  <si>
    <t>период оказания услуги, мес</t>
  </si>
  <si>
    <t>4.3</t>
  </si>
  <si>
    <t>бюджетным потребителям</t>
  </si>
  <si>
    <t>4.3.1</t>
  </si>
  <si>
    <t>в т.ч. отопление</t>
  </si>
  <si>
    <t>4.3.2</t>
  </si>
  <si>
    <t>горячее водоснабжение</t>
  </si>
  <si>
    <t>4.4</t>
  </si>
  <si>
    <t>прочим потребителям</t>
  </si>
  <si>
    <t>4.4.1</t>
  </si>
  <si>
    <t>4.4.2</t>
  </si>
  <si>
    <t>4.5</t>
  </si>
  <si>
    <t>потери</t>
  </si>
  <si>
    <t>3</t>
  </si>
  <si>
    <t>Полезный отпуск по группам потребителей</t>
  </si>
  <si>
    <t>5.1</t>
  </si>
  <si>
    <t>3.1</t>
  </si>
  <si>
    <t>3.1.1</t>
  </si>
  <si>
    <t>3.1.1.1</t>
  </si>
  <si>
    <r>
      <t>норматив на отопление, Гкал/м</t>
    </r>
    <r>
      <rPr>
        <vertAlign val="superscript"/>
        <sz val="10"/>
        <rFont val="Times New Roman"/>
        <family val="1"/>
        <charset val="204"/>
      </rPr>
      <t>2</t>
    </r>
    <r>
      <rPr>
        <sz val="10"/>
        <rFont val="Times New Roman"/>
        <family val="1"/>
        <charset val="204"/>
      </rPr>
      <t>/мес.</t>
    </r>
  </si>
  <si>
    <t>3.1.1.2</t>
  </si>
  <si>
    <r>
      <t>отапливаемая площадь, м</t>
    </r>
    <r>
      <rPr>
        <vertAlign val="superscript"/>
        <sz val="10"/>
        <rFont val="Times New Roman"/>
        <family val="1"/>
        <charset val="204"/>
      </rPr>
      <t>2</t>
    </r>
  </si>
  <si>
    <t>3.1.1.3</t>
  </si>
  <si>
    <t>период оказания услуги, мес.</t>
  </si>
  <si>
    <t>3.1.2</t>
  </si>
  <si>
    <t>3.1.2.1</t>
  </si>
  <si>
    <r>
      <t>норматив на ГВС, м</t>
    </r>
    <r>
      <rPr>
        <sz val="10"/>
        <rFont val="Calibri"/>
        <family val="2"/>
        <charset val="204"/>
      </rPr>
      <t>³</t>
    </r>
    <r>
      <rPr>
        <sz val="10"/>
        <rFont val="Times New Roman"/>
        <family val="1"/>
        <charset val="204"/>
      </rPr>
      <t>/чел./мес.</t>
    </r>
  </si>
  <si>
    <t>3.1.2.2</t>
  </si>
  <si>
    <t>3.1.2.3</t>
  </si>
  <si>
    <t>3.1.2.4</t>
  </si>
  <si>
    <t>3.2</t>
  </si>
  <si>
    <t>5.1.1</t>
  </si>
  <si>
    <t>5.3.2</t>
  </si>
  <si>
    <t>3.3</t>
  </si>
  <si>
    <t>5.2.1</t>
  </si>
  <si>
    <t>5.4.2</t>
  </si>
  <si>
    <t>Нормативный удельный расход условного топлива на производство тепловой энергии</t>
  </si>
  <si>
    <t>кг у.т./ Гкал</t>
  </si>
  <si>
    <t>Уголь</t>
  </si>
  <si>
    <t>7.2</t>
  </si>
  <si>
    <t>Мазут</t>
  </si>
  <si>
    <t>7.3</t>
  </si>
  <si>
    <t>Нефть</t>
  </si>
  <si>
    <t>7.4</t>
  </si>
  <si>
    <t>Дизельное топливо</t>
  </si>
  <si>
    <t>7.5</t>
  </si>
  <si>
    <t>Дрова</t>
  </si>
  <si>
    <t>7.6</t>
  </si>
  <si>
    <t>Газ сжиженный</t>
  </si>
  <si>
    <t>7.7</t>
  </si>
  <si>
    <t>Газ коммерческий</t>
  </si>
  <si>
    <t>Опилки</t>
  </si>
  <si>
    <t>7.9</t>
  </si>
  <si>
    <t>Прочее</t>
  </si>
  <si>
    <t>5</t>
  </si>
  <si>
    <t>Расход условного топлива на производство тепловой энергии</t>
  </si>
  <si>
    <t>т.у.т</t>
  </si>
  <si>
    <t>8.2</t>
  </si>
  <si>
    <t>8.3</t>
  </si>
  <si>
    <t>8.4</t>
  </si>
  <si>
    <t>8.5</t>
  </si>
  <si>
    <t>8.6</t>
  </si>
  <si>
    <t>8.7</t>
  </si>
  <si>
    <t>6.1</t>
  </si>
  <si>
    <t>8.9</t>
  </si>
  <si>
    <t>6</t>
  </si>
  <si>
    <t>Переводной коэффициент</t>
  </si>
  <si>
    <t>9.2</t>
  </si>
  <si>
    <t>9.3</t>
  </si>
  <si>
    <t>9.4</t>
  </si>
  <si>
    <t>9.5</t>
  </si>
  <si>
    <t>9.6</t>
  </si>
  <si>
    <t>9.7</t>
  </si>
  <si>
    <t>7.1</t>
  </si>
  <si>
    <t>9.9</t>
  </si>
  <si>
    <t>7</t>
  </si>
  <si>
    <t>Расход натурального топлива</t>
  </si>
  <si>
    <t>т.н.т</t>
  </si>
  <si>
    <t>10.2</t>
  </si>
  <si>
    <t>10.3</t>
  </si>
  <si>
    <t>10.4</t>
  </si>
  <si>
    <t>10.5</t>
  </si>
  <si>
    <r>
      <t>тнт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</si>
  <si>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10.6</t>
  </si>
  <si>
    <t>10.7</t>
  </si>
  <si>
    <r>
      <t>м</t>
    </r>
    <r>
      <rPr>
        <vertAlign val="superscript"/>
        <sz val="10"/>
        <rFont val="Times New Roman"/>
        <family val="1"/>
        <charset val="204"/>
      </rPr>
      <t>3</t>
    </r>
  </si>
  <si>
    <t>8.1</t>
  </si>
  <si>
    <t>10.9</t>
  </si>
  <si>
    <t>II</t>
  </si>
  <si>
    <t>Формирование необходимой валовой выручки</t>
  </si>
  <si>
    <t>Параметры расчёта расходов</t>
  </si>
  <si>
    <t>1.1</t>
  </si>
  <si>
    <t>Индекс потребительских цен на расчётный период регулирования (ИПЦ)</t>
  </si>
  <si>
    <t>1.2</t>
  </si>
  <si>
    <t>Индекс эффективности операционных расходов (ИР)</t>
  </si>
  <si>
    <t>1.3</t>
  </si>
  <si>
    <t>Индекс изменения количества активов (ИКА)</t>
  </si>
  <si>
    <t>1.3.1</t>
  </si>
  <si>
    <t>количество условных единиц, относящихся к активам, необходимым для осуществления регулируемой деятельности</t>
  </si>
  <si>
    <t>у.е.</t>
  </si>
  <si>
    <t>1.3.2</t>
  </si>
  <si>
    <t>установленная тепловая мощность источника тепловой энергии</t>
  </si>
  <si>
    <t>Гкал/час</t>
  </si>
  <si>
    <t>1.4</t>
  </si>
  <si>
    <r>
      <t>Коэффициент эластичности затрат по росту активов (К</t>
    </r>
    <r>
      <rPr>
        <vertAlign val="subscript"/>
        <sz val="10"/>
        <rFont val="Times New Roman"/>
        <family val="1"/>
        <charset val="204"/>
      </rPr>
      <t>эл</t>
    </r>
    <r>
      <rPr>
        <sz val="10"/>
        <rFont val="Times New Roman"/>
        <family val="1"/>
        <charset val="204"/>
      </rPr>
      <t>)</t>
    </r>
  </si>
  <si>
    <t>Операционные (подконтрольные) расходы</t>
  </si>
  <si>
    <t>2.1</t>
  </si>
  <si>
    <t>Сырье, основные материалы</t>
  </si>
  <si>
    <t>2.1.1</t>
  </si>
  <si>
    <t>На ремонт, всего</t>
  </si>
  <si>
    <t>2.1.1.1</t>
  </si>
  <si>
    <t>в т.ч. текущий ремонт</t>
  </si>
  <si>
    <t>2.1.1.2</t>
  </si>
  <si>
    <t>капитальный ремонт</t>
  </si>
  <si>
    <t>2.1.2</t>
  </si>
  <si>
    <t>Другие расходы по содержанию и эксплуатации основных производственных фондов</t>
  </si>
  <si>
    <t>2.2</t>
  </si>
  <si>
    <t>Вспомогательные материалы, всего</t>
  </si>
  <si>
    <t>2.2.1</t>
  </si>
  <si>
    <t>в т.ч. реагенты</t>
  </si>
  <si>
    <t>2.2.2</t>
  </si>
  <si>
    <t>другие материалы</t>
  </si>
  <si>
    <t>2.3</t>
  </si>
  <si>
    <t>Работы и услуги производственного характера, всего</t>
  </si>
  <si>
    <t>2.3.1</t>
  </si>
  <si>
    <t>в т.ч. на ремонт</t>
  </si>
  <si>
    <t>2.3.2</t>
  </si>
  <si>
    <t>прочие расходы на выполнение работ и услуг производственного характера</t>
  </si>
  <si>
    <t>2.4</t>
  </si>
  <si>
    <t xml:space="preserve">Затраты на оплату труда </t>
  </si>
  <si>
    <t>2.4.1</t>
  </si>
  <si>
    <t>оплата труда основных производственных рабочих</t>
  </si>
  <si>
    <t>2.4.1.1</t>
  </si>
  <si>
    <t>среднемесячная оплата труда основных производственных рабочих</t>
  </si>
  <si>
    <t>руб./мес.</t>
  </si>
  <si>
    <t>2.4.1.2</t>
  </si>
  <si>
    <t>численность основного производственного персонала, относимого на регулируемый вид деятельности</t>
  </si>
  <si>
    <t>ед.</t>
  </si>
  <si>
    <t>2.4.2</t>
  </si>
  <si>
    <t>оплата труда ремонтного персонала</t>
  </si>
  <si>
    <t>2.4.2.1</t>
  </si>
  <si>
    <t>среднемесячная оплата труда ремонтного персонала</t>
  </si>
  <si>
    <t>2.4.2.2</t>
  </si>
  <si>
    <t>численность ремонтного персонала, относимого на регулируемый вид деятельности</t>
  </si>
  <si>
    <t>2.4.3</t>
  </si>
  <si>
    <t>оплата труда цехового персонала</t>
  </si>
  <si>
    <t>2.4.3.1</t>
  </si>
  <si>
    <t>среднемесячная оплата труда цехового персонала</t>
  </si>
  <si>
    <t>2.4.3.2</t>
  </si>
  <si>
    <t>численность цехового персонала, относимого на регулируемый вид деятельности</t>
  </si>
  <si>
    <t>2.4.4</t>
  </si>
  <si>
    <t>оплата труда АУП</t>
  </si>
  <si>
    <t>2.4.4.1</t>
  </si>
  <si>
    <t>среднемесячная оплата труда АУП</t>
  </si>
  <si>
    <t>2.4.4.2</t>
  </si>
  <si>
    <t>численность АУП, относимого на регулируемый вид деятельности</t>
  </si>
  <si>
    <t>2.4.5</t>
  </si>
  <si>
    <t>оплата труда прочего персонала, относимого на регулируемый вид деятельности</t>
  </si>
  <si>
    <t>2.4.5.1</t>
  </si>
  <si>
    <t>среднемесячная оплата труда прочего персонала, относимого на регулируемый вид деятельности</t>
  </si>
  <si>
    <t>2.4.5.2</t>
  </si>
  <si>
    <t>численность прочего персонала, относимого на регулируемый вид деятельности</t>
  </si>
  <si>
    <t>2.5</t>
  </si>
  <si>
    <t>Расходы на оплату иных работ и услуг, выполняемых по договорам с организациями, включая:</t>
  </si>
  <si>
    <t>2.5.1</t>
  </si>
  <si>
    <t>расходы на оплату услуг связи</t>
  </si>
  <si>
    <t>2.5.2</t>
  </si>
  <si>
    <t>расходы на оплату вневедомственной охраны</t>
  </si>
  <si>
    <t>2.5.3</t>
  </si>
  <si>
    <t>расходы на оплату коммунальных услуг</t>
  </si>
  <si>
    <t>2.5.4</t>
  </si>
  <si>
    <t>расходы на консультационные услуги</t>
  </si>
  <si>
    <t>2.5.5</t>
  </si>
  <si>
    <t>расходы на юридические услуги</t>
  </si>
  <si>
    <t>2.5.6</t>
  </si>
  <si>
    <t>расходы на информационные услуги</t>
  </si>
  <si>
    <t>2.5.7</t>
  </si>
  <si>
    <t>расходы на аудиторские услуги</t>
  </si>
  <si>
    <t>2.5.8</t>
  </si>
  <si>
    <t>расходы на оплату услуг по стратегическому управлению организацией</t>
  </si>
  <si>
    <t>расходы на оплату других работ и услуг</t>
  </si>
  <si>
    <t>2.6</t>
  </si>
  <si>
    <t>Расходы на обучение персонала</t>
  </si>
  <si>
    <t>Расходы на служебные командировки</t>
  </si>
  <si>
    <t>Лизинговый платёж</t>
  </si>
  <si>
    <t>Арендная плата (за исключением производственных объектов)</t>
  </si>
  <si>
    <t>2.7</t>
  </si>
  <si>
    <t>Неподконтрольные расходы</t>
  </si>
  <si>
    <t>Расходы на оплату услуг, оказываемых организациями, осуществляющими регулируемые виды деятельности</t>
  </si>
  <si>
    <t>Аренда основного оборудования</t>
  </si>
  <si>
    <t>3.2.1</t>
  </si>
  <si>
    <t>по договорам аренды</t>
  </si>
  <si>
    <t>3.2.2</t>
  </si>
  <si>
    <t>по концессионным соглашениям</t>
  </si>
  <si>
    <t>3.2.3</t>
  </si>
  <si>
    <t>иное</t>
  </si>
  <si>
    <t>Расходы на уплату налогов, сборов и других обязательных платежей, всего</t>
  </si>
  <si>
    <t>3.3.1</t>
  </si>
  <si>
    <t>плата за предельно допустимые выбросы (сбросы) загрязняющих веществ в окружающую среду, размещение отходов и другие виды воздействия на окружающую среду в пределах установленных нормативов и (или) лимитов</t>
  </si>
  <si>
    <t>3.3.2</t>
  </si>
  <si>
    <t>средства на обязательное страхование</t>
  </si>
  <si>
    <t>3.3.3</t>
  </si>
  <si>
    <t>иные расходы</t>
  </si>
  <si>
    <t>3.4</t>
  </si>
  <si>
    <t>Отчисления на социальные нужды</t>
  </si>
  <si>
    <t>3.4.1</t>
  </si>
  <si>
    <t>процент отчислений на социальные нужды</t>
  </si>
  <si>
    <t>3.4.2</t>
  </si>
  <si>
    <t>отчисления на соц. нужды от заработной платы основных производственных рабочих</t>
  </si>
  <si>
    <t>3.4.3</t>
  </si>
  <si>
    <t>отчисления на соц. нужды от заработной платы ремонтного персонала</t>
  </si>
  <si>
    <t>3.4.4</t>
  </si>
  <si>
    <t>отчисления на соц. нужды от заработной платы цехового персонала</t>
  </si>
  <si>
    <t>3.4.5</t>
  </si>
  <si>
    <t>отчисления на соц. нужды от заработной платы АУП</t>
  </si>
  <si>
    <t>3.4.6</t>
  </si>
  <si>
    <t>отчисления на соц. нужды от заработной платы прочего персонала</t>
  </si>
  <si>
    <t>3.5</t>
  </si>
  <si>
    <t>Расходы по сомнительным долгам</t>
  </si>
  <si>
    <t>Амортизация основных средств и нематериальных активов</t>
  </si>
  <si>
    <t>3.7</t>
  </si>
  <si>
    <t>Расходы на выплаты по договорам займа и кредитным договорам, включая проценты по ним</t>
  </si>
  <si>
    <t>Налог на прибыль (налог при УСН)</t>
  </si>
  <si>
    <t>3.9</t>
  </si>
  <si>
    <t>Экономия, определённая в прошедшем долгосрочном периоде регулирования и подлежащая учёту в текущем долгосрочном периоде регулирования</t>
  </si>
  <si>
    <t>Расходы на приобретение энергетических ресурсов, холодной воды и теплоносителя</t>
  </si>
  <si>
    <t>Вода на технологические цели (теплоноситель)</t>
  </si>
  <si>
    <t>4.1.1</t>
  </si>
  <si>
    <t>тариф</t>
  </si>
  <si>
    <r>
      <t>руб./м</t>
    </r>
    <r>
      <rPr>
        <vertAlign val="superscript"/>
        <sz val="10"/>
        <rFont val="Times New Roman"/>
        <family val="1"/>
        <charset val="204"/>
      </rPr>
      <t>3</t>
    </r>
  </si>
  <si>
    <t>4.1.2</t>
  </si>
  <si>
    <t>объём</t>
  </si>
  <si>
    <t>Стоимость натурального топлива с учётом транспортировки (перевозки) (топливо на технологические цели)</t>
  </si>
  <si>
    <t>объём топлива</t>
  </si>
  <si>
    <t>тнт</t>
  </si>
  <si>
    <t>цена топлива</t>
  </si>
  <si>
    <t>руб./тнт</t>
  </si>
  <si>
    <t>4.2.3</t>
  </si>
  <si>
    <t>4.2.4</t>
  </si>
  <si>
    <t>4.2.5</t>
  </si>
  <si>
    <r>
      <t>руб./тнт (м</t>
    </r>
    <r>
      <rPr>
        <vertAlign val="superscript"/>
        <sz val="10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</t>
    </r>
  </si>
  <si>
    <t>4.2.6</t>
  </si>
  <si>
    <t>4.2.7</t>
  </si>
  <si>
    <t>4.1.1.1</t>
  </si>
  <si>
    <r>
      <t>пл.м</t>
    </r>
    <r>
      <rPr>
        <sz val="10"/>
        <rFont val="Calibri"/>
        <family val="2"/>
        <charset val="204"/>
      </rPr>
      <t>³</t>
    </r>
  </si>
  <si>
    <t>4.1.1.2</t>
  </si>
  <si>
    <r>
      <t>руб./пл.м</t>
    </r>
    <r>
      <rPr>
        <sz val="10"/>
        <rFont val="Calibri"/>
        <family val="2"/>
        <charset val="204"/>
      </rPr>
      <t>³</t>
    </r>
  </si>
  <si>
    <t>4.2.9</t>
  </si>
  <si>
    <t>4.1.2.1</t>
  </si>
  <si>
    <t>объём энергии</t>
  </si>
  <si>
    <t>тыс.кВтч</t>
  </si>
  <si>
    <t>4.1.2.2</t>
  </si>
  <si>
    <t>руб./ тыс.кВтч</t>
  </si>
  <si>
    <t xml:space="preserve">Энергия, в том числе </t>
  </si>
  <si>
    <t xml:space="preserve">затраты на покупную тепловую энергию </t>
  </si>
  <si>
    <t>4.3.1.1</t>
  </si>
  <si>
    <t>объём ТЭ</t>
  </si>
  <si>
    <t>4.3.1.2</t>
  </si>
  <si>
    <t>цена ТЭ</t>
  </si>
  <si>
    <t>руб./Гкал</t>
  </si>
  <si>
    <t>затраты на оплату услуг по передаче тепловой энергии</t>
  </si>
  <si>
    <t>4.3.2.1</t>
  </si>
  <si>
    <t>4.3.2.2</t>
  </si>
  <si>
    <t>затраты на покупную электрическую энергию, по уровням напряжения:</t>
  </si>
  <si>
    <t>энергия НН (0,4 кВ и ниже)</t>
  </si>
  <si>
    <t>4.3.1.1.1</t>
  </si>
  <si>
    <t>тариф на энергию</t>
  </si>
  <si>
    <t>руб./кВтч</t>
  </si>
  <si>
    <t>4.3.1.1.2</t>
  </si>
  <si>
    <t>ставка за мощность</t>
  </si>
  <si>
    <t>объем мощности</t>
  </si>
  <si>
    <t>кВтч</t>
  </si>
  <si>
    <t>энергия СН 2 (1-20 кВ)</t>
  </si>
  <si>
    <t>4.3.3.3</t>
  </si>
  <si>
    <t>энергия СН 1 (35 кВ)</t>
  </si>
  <si>
    <t>4.3.3.3.1</t>
  </si>
  <si>
    <t>4.3.3.3.2</t>
  </si>
  <si>
    <t>4.3.3.4</t>
  </si>
  <si>
    <t>энергия ВН (110 кВ и выше)</t>
  </si>
  <si>
    <t>4.3.3.4.1</t>
  </si>
  <si>
    <t>4.3.3.4.2</t>
  </si>
  <si>
    <t xml:space="preserve">энергия на хозяйственные нужды </t>
  </si>
  <si>
    <t xml:space="preserve">тепловая энергия </t>
  </si>
  <si>
    <t>4.4.1.1</t>
  </si>
  <si>
    <t>4.4.1.2</t>
  </si>
  <si>
    <t xml:space="preserve">электрическая энергия </t>
  </si>
  <si>
    <t>4.4.2.1</t>
  </si>
  <si>
    <t>4.4.2.1.1</t>
  </si>
  <si>
    <t>4.4.2.1.2</t>
  </si>
  <si>
    <t>4.4.2.2</t>
  </si>
  <si>
    <t>4.4.2.2.1</t>
  </si>
  <si>
    <t>4.4.2.2.2</t>
  </si>
  <si>
    <t>4.4.2.3</t>
  </si>
  <si>
    <t>4.4.2.3.1</t>
  </si>
  <si>
    <t>4.4.2.3.2</t>
  </si>
  <si>
    <t>4.4.2.4</t>
  </si>
  <si>
    <t>4.4.2.4.1</t>
  </si>
  <si>
    <t>4.4.2.4.2</t>
  </si>
  <si>
    <t>3.3.14</t>
  </si>
  <si>
    <t>другие расходы, связанные с производством и (или) реализацией продукции, в том числе налоги:</t>
  </si>
  <si>
    <t>3.3.14.1</t>
  </si>
  <si>
    <t>налог на землю</t>
  </si>
  <si>
    <t>3.3.14.2</t>
  </si>
  <si>
    <t xml:space="preserve">транспортный налог </t>
  </si>
  <si>
    <t>3.3.14.3</t>
  </si>
  <si>
    <t>водный налог</t>
  </si>
  <si>
    <t>3.3.14.4</t>
  </si>
  <si>
    <t>прочие</t>
  </si>
  <si>
    <t>Внереализационные расходы</t>
  </si>
  <si>
    <t>11.1</t>
  </si>
  <si>
    <t>расходы на вывод из эксплуатации (в том числе на консервацию) и вывод из консервации</t>
  </si>
  <si>
    <t>11.2</t>
  </si>
  <si>
    <t>расходы по сомнительным долгам</t>
  </si>
  <si>
    <t>расходы, связанные с созданием нормативных запасов топлива</t>
  </si>
  <si>
    <t>другие обоснованные расходы, в том числе</t>
  </si>
  <si>
    <t>расходы на услуги банков</t>
  </si>
  <si>
    <t>11.4.2</t>
  </si>
  <si>
    <t>расходы на обслуживание заемных средств</t>
  </si>
  <si>
    <t>Недополученный доход</t>
  </si>
  <si>
    <t>12.0</t>
  </si>
  <si>
    <t>по результатам досудебного рассмотрения споров ФСТ России</t>
  </si>
  <si>
    <t>12.1</t>
  </si>
  <si>
    <t>по результатам рассмотрения разногласий ФСТ России</t>
  </si>
  <si>
    <t xml:space="preserve">экономически обоснованные расходы, понесённые за отчётные периоды </t>
  </si>
  <si>
    <t>8</t>
  </si>
  <si>
    <t xml:space="preserve">выпадающие доходы за отчётные периоды регулирования, связанные с изменением объёмов реализации  </t>
  </si>
  <si>
    <t>9</t>
  </si>
  <si>
    <t>Избыток средств, полученный за отчётные периоды регулирования</t>
  </si>
  <si>
    <t>10</t>
  </si>
  <si>
    <t>Итого расходы</t>
  </si>
  <si>
    <t>14.1</t>
  </si>
  <si>
    <t>из них на ремонт</t>
  </si>
  <si>
    <t>11</t>
  </si>
  <si>
    <t>Валовая прибыль</t>
  </si>
  <si>
    <t>15.1</t>
  </si>
  <si>
    <t>Прибыль на развитие производства (капитальные вложения)</t>
  </si>
  <si>
    <t>Прибыль на социальное развитие</t>
  </si>
  <si>
    <t>15.3</t>
  </si>
  <si>
    <t>Прибыль на поощрение</t>
  </si>
  <si>
    <t>Прибыль на прочие цели</t>
  </si>
  <si>
    <t>11.3</t>
  </si>
  <si>
    <t>Налоги, сборы, платежи - всего, в том числе</t>
  </si>
  <si>
    <t>11.3.1</t>
  </si>
  <si>
    <t xml:space="preserve">налог на прибыль </t>
  </si>
  <si>
    <t>16.2</t>
  </si>
  <si>
    <t>налог на имущество</t>
  </si>
  <si>
    <t>другие налоги</t>
  </si>
  <si>
    <t>16</t>
  </si>
  <si>
    <t xml:space="preserve">Перекрёстное субсидирование, в том числе </t>
  </si>
  <si>
    <t>16.1</t>
  </si>
  <si>
    <t>Перекрёстка между видами деятельности (электроэнергия и тепловая энергия)</t>
  </si>
  <si>
    <t>Перекрёстка между группами потребителей</t>
  </si>
  <si>
    <t>12</t>
  </si>
  <si>
    <t>Необходимая валовая выручка без НДС</t>
  </si>
  <si>
    <t>18</t>
  </si>
  <si>
    <t>Необходимая валовая выручка с НДС</t>
  </si>
  <si>
    <t>19</t>
  </si>
  <si>
    <t>Товарная продукция на реализацию потребителям без учёта НДС</t>
  </si>
  <si>
    <t>20</t>
  </si>
  <si>
    <t>Товарная продукция на реализацию потребителям с учётом НДС</t>
  </si>
  <si>
    <t>13</t>
  </si>
  <si>
    <t>Избыток средств / недополученный доход в текущем периоде регулирования</t>
  </si>
  <si>
    <t>24.0.1</t>
  </si>
  <si>
    <t>Товарная продукция на реализацию потребителям без учёта НДС, исходя из утверждённых тарифов</t>
  </si>
  <si>
    <t>24.0.2</t>
  </si>
  <si>
    <t>Полезный отпуск продукции на реализацию потребителям</t>
  </si>
  <si>
    <t>24.1</t>
  </si>
  <si>
    <t>Организации-перепродавцы / энергоснабжающие организации</t>
  </si>
  <si>
    <t>24.1.1</t>
  </si>
  <si>
    <t>средневзвешенный тариф (Не определено - передача, руб./Гкал - остальные)</t>
  </si>
  <si>
    <t>руб./ед.</t>
  </si>
  <si>
    <t>24.1.2</t>
  </si>
  <si>
    <t>24.2</t>
  </si>
  <si>
    <t>Бюджетные потребители</t>
  </si>
  <si>
    <t>24.2.1</t>
  </si>
  <si>
    <t>24.2.2</t>
  </si>
  <si>
    <t>24.3</t>
  </si>
  <si>
    <t>24.3.1</t>
  </si>
  <si>
    <t>24.3.2</t>
  </si>
  <si>
    <t>24.4</t>
  </si>
  <si>
    <t>24.4.1</t>
  </si>
  <si>
    <t>24.4.2</t>
  </si>
  <si>
    <t>III</t>
  </si>
  <si>
    <t>Метод индексации</t>
  </si>
  <si>
    <t>ИПЦ</t>
  </si>
  <si>
    <t>Операционные (неподконтрольные) расходы</t>
  </si>
  <si>
    <t>Расходы на приобретение (производство) энергетических ресурсов</t>
  </si>
  <si>
    <t>Результаты деятельности до перехода к регулированию тарифов на основе долгосрочных параметров</t>
  </si>
  <si>
    <t>Корректировка с целью учёта отклонения фактических значений параметров расчёта тарифов от значений, учтённых при установлении тарифов</t>
  </si>
  <si>
    <t>Корректировка с учётом надежности и качества реализуемых товаров, подлежащая учёту в НВВ</t>
  </si>
  <si>
    <t>Корректировка НВВ в связи с изменением (неисполнением) инвестиционной программы</t>
  </si>
  <si>
    <t>Корректировка, подлежащая учёту в НВВ и учитывающая отклонение фактических показателей энергосбережения и повышения энергетической эффективности от установленных плановых (расчётных) показателей и сроков реализации</t>
  </si>
  <si>
    <t>Итого необходимая валовая выручка</t>
  </si>
  <si>
    <t>Товарная продукция</t>
  </si>
  <si>
    <t>Среднеотпускной тариф на тепловую энергию</t>
  </si>
  <si>
    <t>Индекс снижения расходов</t>
  </si>
  <si>
    <t>14</t>
  </si>
  <si>
    <t>Базовый уровень расходов, связанных с осуществлением регулируемой деятельности</t>
  </si>
  <si>
    <t>15</t>
  </si>
  <si>
    <t>Корректировка НВВ с учётом отклонения фактических значений ИПЦ от значений, учтённых при установлении тарифов</t>
  </si>
  <si>
    <t>9.1</t>
  </si>
  <si>
    <t>Расходы на сбыт</t>
  </si>
  <si>
    <t>10.1</t>
  </si>
  <si>
    <t>Затраты на оплату услуг по передаче тепловой энергии</t>
  </si>
  <si>
    <t xml:space="preserve">Затраты на производство тепловой энергии </t>
  </si>
  <si>
    <t>Предпринимательская прибыль</t>
  </si>
  <si>
    <t>Итого необходимая валовая выручка с учетом предпринимательской прибыли</t>
  </si>
  <si>
    <t>Полезный отпуск</t>
  </si>
  <si>
    <t>население</t>
  </si>
  <si>
    <t>15.2</t>
  </si>
  <si>
    <t>бюджетные потребители</t>
  </si>
  <si>
    <t>прочие потребители</t>
  </si>
  <si>
    <t>ООО "АТК"</t>
  </si>
  <si>
    <t>Да</t>
  </si>
  <si>
    <t>Наименование расхода</t>
  </si>
  <si>
    <t>Единицы измерения</t>
  </si>
  <si>
    <t>Прогноз на 2017 год по заключению Службы</t>
  </si>
  <si>
    <t xml:space="preserve">Предложение предприятия на 2017 год </t>
  </si>
  <si>
    <t>Прогноз на 2018 год по заключению Службы</t>
  </si>
  <si>
    <t>отклонение</t>
  </si>
  <si>
    <t>Индекс потребительских цен</t>
  </si>
  <si>
    <t>Расходы на производство воды, вырабатываемой на водоподготовительных установках источника тепловой энергии,
в том числе:</t>
  </si>
  <si>
    <t>Стоимость исходной воды</t>
  </si>
  <si>
    <t>1.1.1.</t>
  </si>
  <si>
    <t xml:space="preserve">расчетный объем                     </t>
  </si>
  <si>
    <r>
      <t>тыс. м</t>
    </r>
    <r>
      <rPr>
        <sz val="10"/>
        <rFont val="Calibri"/>
        <family val="2"/>
        <charset val="204"/>
      </rPr>
      <t>³</t>
    </r>
  </si>
  <si>
    <t>1.1.2.</t>
  </si>
  <si>
    <t xml:space="preserve">планируемая (расчетная) цена, </t>
  </si>
  <si>
    <t>руб. м³</t>
  </si>
  <si>
    <t xml:space="preserve">Индекс роста цен на воду </t>
  </si>
  <si>
    <t>Стоимость реагентов, а также фильтрующих и ионообменных материалов, используемых при водоподготовке</t>
  </si>
  <si>
    <t>тыс.                    руб.</t>
  </si>
  <si>
    <t>1.2.1.</t>
  </si>
  <si>
    <t>приобретение солевого рассола</t>
  </si>
  <si>
    <t>тыс руб.</t>
  </si>
  <si>
    <t>1.2.1.1.</t>
  </si>
  <si>
    <t>объем</t>
  </si>
  <si>
    <t>м³</t>
  </si>
  <si>
    <t>1.2.1.2.</t>
  </si>
  <si>
    <t>цена (без НДС)</t>
  </si>
  <si>
    <t>руб./м³</t>
  </si>
  <si>
    <t>1.2.2.</t>
  </si>
  <si>
    <t>доставка солевого рассола</t>
  </si>
  <si>
    <t>1.2.3.</t>
  </si>
  <si>
    <t>приобретение катионита</t>
  </si>
  <si>
    <t>1.2.3.1.</t>
  </si>
  <si>
    <t>тонн</t>
  </si>
  <si>
    <t>1.2.3.2.</t>
  </si>
  <si>
    <t>Стоимость транспортировки и очистки сточных вод, возникающих в процессе водоподготовки</t>
  </si>
  <si>
    <t>расчетный объем</t>
  </si>
  <si>
    <t xml:space="preserve">  тыс. м3</t>
  </si>
  <si>
    <t>планируемая (расчетная) цена</t>
  </si>
  <si>
    <t xml:space="preserve"> руб./м3</t>
  </si>
  <si>
    <t>Индекс роста цен на  транспортировку и очистку сточных вод, возникающих в процессе водоподготовки</t>
  </si>
  <si>
    <t>1.2.4.</t>
  </si>
  <si>
    <t>приобретение химреактивов и химпосуды</t>
  </si>
  <si>
    <t>Расходы на оплату труда персонала, участвующего в процессе водоподготовки</t>
  </si>
  <si>
    <t>численность</t>
  </si>
  <si>
    <t>1.3.2.</t>
  </si>
  <si>
    <t>средняя з/п</t>
  </si>
  <si>
    <t>руб./мес на 1 чел..</t>
  </si>
  <si>
    <t>Отчисления на социальные нужды  персонала, участвующего в процессе водоподготовки</t>
  </si>
  <si>
    <t>1.7</t>
  </si>
  <si>
    <t>Амортизация основных фондов, участвующих в процессе водоподготовки</t>
  </si>
  <si>
    <t>1.5.</t>
  </si>
  <si>
    <t>Компенсация расходов на оплату стоимости проезда к месту использования отпуска и обратно</t>
  </si>
  <si>
    <t>1.6</t>
  </si>
  <si>
    <t>Прочие расходы, относимые на процесс водоподготовки, в том числе:</t>
  </si>
  <si>
    <t>Расходы на ремонт основных фондов, в т.ч.:</t>
  </si>
  <si>
    <t>Материалы на оборудование</t>
  </si>
  <si>
    <t>Материалы на текущий ремонт зданий и лабораторий</t>
  </si>
  <si>
    <t>Водный налог (плата за пользование водными объектами)</t>
  </si>
  <si>
    <t>1.6.1.</t>
  </si>
  <si>
    <t>общехозяйственные расходы</t>
  </si>
  <si>
    <t>Работы и услуги производственного характера, в т.ч.:</t>
  </si>
  <si>
    <t xml:space="preserve"> услуги вспомогательных цехов (ЦАЗиР, РСЦ)</t>
  </si>
  <si>
    <t>1.6.2.</t>
  </si>
  <si>
    <t>1.7.</t>
  </si>
  <si>
    <t>Итого расходов</t>
  </si>
  <si>
    <t>1.8.</t>
  </si>
  <si>
    <t xml:space="preserve">Расходы из прибыли </t>
  </si>
  <si>
    <t>1.9.</t>
  </si>
  <si>
    <t>1.9</t>
  </si>
  <si>
    <t>Необходимая валовая выручка, относимая на производство химочищенной воды</t>
  </si>
  <si>
    <t>1.10</t>
  </si>
  <si>
    <t>Объем химочищенной воды, вырабатываемой на водоподготовительных установках источника тепловой энергии</t>
  </si>
  <si>
    <t>тыс.м³</t>
  </si>
  <si>
    <t>1.11</t>
  </si>
  <si>
    <t>Стоимость 1 куб. м химочищенной воды, вырабатываемой на водоподготовительных установках источника тепловой энергии</t>
  </si>
  <si>
    <t>руб./                     м³</t>
  </si>
  <si>
    <t>1.12</t>
  </si>
  <si>
    <t>Необходимая валовая выручка, относимая на производство химочищенной воды, вырабатываемой на водоподготовительных установках источника тепловой энергии в целях производства теплоносителя</t>
  </si>
  <si>
    <t>1.13</t>
  </si>
  <si>
    <t>Объем химочищенной воды, вырабатываемой на водоподготовительных установках источника тепловой энергии в целях производства теплоносителя</t>
  </si>
  <si>
    <t>1.14</t>
  </si>
  <si>
    <t>Стоимость 1 м³ воды, вырабатываемой на водоподготовительных установках источника тепловой энергии в целях производства теплоносителя</t>
  </si>
  <si>
    <t>1.15</t>
  </si>
  <si>
    <t>Тариф на теплоноситель, поставляемый теплоснабжающей организацией, владеющей источником (источниками) тепловой энергии, на котором производится теплоноситель (без НДС)</t>
  </si>
  <si>
    <t>руб./                          м³</t>
  </si>
  <si>
    <t>Утверждено СТИО для БЭК на 2017 год</t>
  </si>
  <si>
    <t>водоотведение</t>
  </si>
  <si>
    <t>Утверждено для ООО "БЭК" на 2017 год</t>
  </si>
  <si>
    <t xml:space="preserve">Рассчитана в соответствии с пунктом 48(1) Основ ценообразования.
</t>
  </si>
  <si>
    <t>Базовый период             2018 год</t>
  </si>
  <si>
    <t>Период регулирования         2019 год</t>
  </si>
  <si>
    <t>Другие расходы, в т.ч</t>
  </si>
  <si>
    <t>льготный проезд</t>
  </si>
  <si>
    <t>канцелярские расходы</t>
  </si>
  <si>
    <t>Водоснабжение и водоотведение</t>
  </si>
  <si>
    <t>Водоотведение</t>
  </si>
  <si>
    <t>Базаовый период 2018</t>
  </si>
  <si>
    <t>Период регулирования 2019 год</t>
  </si>
  <si>
    <t>Расход натурального топлива рассчитан исходя из нормативного расхода условного топлива и переводного коэффициента.</t>
  </si>
  <si>
    <t>Рассчитан исходя из объема отпущенной в сеть тепловой энергии и утвержденного норматива удельного расхода условного топлива (272401,6*217,9/1000).</t>
  </si>
  <si>
    <t>Объем принят в размере, учтенном в действующем тарифе Предприятия.</t>
  </si>
  <si>
    <t>Цена на уголь принята согласно представленному договору, заключенному с ООО "Углегруз" на 2019 год на основании проведенного открытого конкурса.</t>
  </si>
  <si>
    <t>Расчет представлен выше.</t>
  </si>
  <si>
    <t>Тариф принят, согласно приказу 398-спр от 30.11.2017</t>
  </si>
  <si>
    <t>Тариф рассчитан исходя из утвержденного на 2018г  с учетом ИЦП на 2019 год (105,5%)  согласно Прогнозу.</t>
  </si>
  <si>
    <t>Расходы приняты согласно представленному договору, заключенному с ООО "ТРЭК" на 2019 год на основании проведенного открытого конкурса.</t>
  </si>
  <si>
    <t>Расходы приняты согласно представленному договору, заключенному с ООО "СЭМ" на 2019 год на основании проведенного открытого конкурса.</t>
  </si>
  <si>
    <t>Расходы приняты согласно представленному договору, заключенному с ООО "СЭМ" на 2019 год на основании проведенного открытого конкурса. (перевозка персонала)</t>
  </si>
  <si>
    <t>Расходы приняты согласно представленному договору, заключенному с ООО "СЭМ" на 2019 год на основании проведенного открытого конкурса. (перемещение сыпучих грузов)</t>
  </si>
  <si>
    <t xml:space="preserve">Расходы на проведение капитального и текущего ремонтов приняты в размере, учтенном в действующем тарифе с учетом ИПЦ 104,0% согласно Прогнозу </t>
  </si>
  <si>
    <t xml:space="preserve">Расходы на спецодежду, моющие, СИЗ приняты в размере, учтенном в действующем тарифе с учетом ИПЦ 104,0% согласно Прогнозу </t>
  </si>
  <si>
    <t xml:space="preserve">Расходы на оплату услуг связи приняты в размере, учтенном в действующем тарифе с учетом ИПЦ 104,0% согласно Прогнозу </t>
  </si>
  <si>
    <t xml:space="preserve">Расходы приняты в размере, учтенном в действующем тарифе с учетом ИПЦ 104,0% согласно Прогнозу </t>
  </si>
  <si>
    <t>Процент принят в соответствии со ст. 426 НК РФ.</t>
  </si>
  <si>
    <t>Рассчитаны исходя из фонда заработной платы и суммарного тарифа страховых взносов в размере 30,2%.</t>
  </si>
  <si>
    <t>Ввиду отсутствия утвержденого тарифа на 2019 год, тариф принят из расчета установленного на 2018 г. с учетом ИПЦ на 2019 г 104,0% (13,7*1,04) (постановление 2002 от 19.12.17)</t>
  </si>
  <si>
    <t>Ввиду отсутствия утвержденого тарифа на 2019 год, тариф принят из расчета утвержденного на  2018 г. с учетом ИПЦ на 2019 г 104,0% (16,63*1,04) (постановление 2002 от 19.12.17)</t>
  </si>
  <si>
    <t>Цена принята согласно представленному договору, заключенному с ООО "СЭМ" на 2019 год на основании проведенного открытого конкурса.</t>
  </si>
  <si>
    <t>Расходы приняты согласно представленному договору, заключенному с ООО "СЭМ" на 2019 год на основании проведенного открытого конкурса. (доставка жидкого сырья)</t>
  </si>
  <si>
    <t>Цена принята в размере, учтенном в действующем тарифе с учетом ИПЦ 104,0% согласно Прогноз</t>
  </si>
  <si>
    <t xml:space="preserve">Размер арендной платы рассчитан в размере амортизационных отчислений собственника имущества и аренды земли по шлакохранилищу и под размещение котельной. </t>
  </si>
  <si>
    <t>Размер платы за выбросы рассчитан исходя их фактических затрат за 2017 год с учетом ИПЦ на 2019 г 104,0% (42270,96/5*12*1,04)</t>
  </si>
  <si>
    <t>Расходы приняты согласно фактическсим затратам на служебные командировки в 2017 году с учетом ИПЦ 104,0 %</t>
  </si>
  <si>
    <t>Расходы приняты согласно фактическсим затратам на обучение персонала в 2017 году с учетом ИПЦ 104,0 %</t>
  </si>
  <si>
    <t>2.8</t>
  </si>
  <si>
    <t>2.9</t>
  </si>
  <si>
    <t>2.10</t>
  </si>
  <si>
    <t xml:space="preserve">Среднемесячная оплата труда рассчитана с соблюдением размера МРОТ, установленного с 01.05.2018 федеральным законом от 07.03.18 № 41-ФЗ </t>
  </si>
  <si>
    <t xml:space="preserve">выпадающие доходы за 2018 г в объемах населения ввиду разницы тарифов на передачу для ООО АТК и действующим тарифом для ООО ПБТР на 2018 год                                                                   (199 126,7*314,71-199126,7*296,51)/1000=3624,1 </t>
  </si>
  <si>
    <t xml:space="preserve">Приняты расходы по оплате услуг по передаче тепловой энергии для ООО "ПБТР" на 2019 год за исключением расходов на покупку потерь </t>
  </si>
  <si>
    <t>Полезный отпуск тепловой энергии по прочим потребителям принят без учета потерь ООО "ПБТР"</t>
  </si>
  <si>
    <t>Программа энергосбережения</t>
  </si>
  <si>
    <t>Рассчитана согласно техническому отчету к ЭП-550-2017-8</t>
  </si>
  <si>
    <t>2.5.9</t>
  </si>
  <si>
    <t xml:space="preserve">Управляющий </t>
  </si>
  <si>
    <t>А.А.Галушка</t>
  </si>
  <si>
    <t>Предложение об установлении тарифа на тепловую энергию, поставляемую единой теплоснабжающей организацией ООО "АТК" на 2019 год</t>
  </si>
  <si>
    <t xml:space="preserve"> Предложение об установлении тарифа на теплоноситель, поставляемый единой теплоснабжающей организацией        ООО "АТК" на 2019 год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</si>
</sst>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(* #,##0.00_);_(* \(#,##0.00\);_(* &quot;-&quot;??_);_(@_)"/>
    <numFmt numFmtId="166" formatCode="0.0%"/>
    <numFmt numFmtId="167" formatCode="#,##0.0"/>
    <numFmt numFmtId="168" formatCode="0.0"/>
    <numFmt numFmtId="169" formatCode="#,##0.0000"/>
    <numFmt numFmtId="170" formatCode="#,##0.000"/>
    <numFmt numFmtId="171" formatCode="0.000"/>
  </numFmts>
  <fonts count="53">
    <font>
      <sz val="10"/>
      <name val="Arial"/>
    </font>
    <font>
      <sz val="10"/>
      <name val="Arial Cyr"/>
      <charset val="204"/>
    </font>
    <font>
      <sz val="12"/>
      <color indexed="8"/>
      <name val="Bookman Old Style"/>
      <family val="2"/>
      <charset val="204"/>
    </font>
    <font>
      <sz val="12"/>
      <color indexed="9"/>
      <name val="Bookman Old Style"/>
      <family val="2"/>
      <charset val="204"/>
    </font>
    <font>
      <sz val="12"/>
      <color indexed="62"/>
      <name val="Bookman Old Style"/>
      <family val="2"/>
      <charset val="204"/>
    </font>
    <font>
      <b/>
      <sz val="12"/>
      <color indexed="63"/>
      <name val="Bookman Old Style"/>
      <family val="2"/>
      <charset val="204"/>
    </font>
    <font>
      <b/>
      <sz val="12"/>
      <color indexed="52"/>
      <name val="Bookman Old Style"/>
      <family val="2"/>
      <charset val="204"/>
    </font>
    <font>
      <b/>
      <sz val="15"/>
      <color indexed="56"/>
      <name val="Bookman Old Style"/>
      <family val="2"/>
      <charset val="204"/>
    </font>
    <font>
      <b/>
      <sz val="13"/>
      <color indexed="56"/>
      <name val="Bookman Old Style"/>
      <family val="2"/>
      <charset val="204"/>
    </font>
    <font>
      <b/>
      <sz val="11"/>
      <color indexed="56"/>
      <name val="Bookman Old Style"/>
      <family val="2"/>
      <charset val="204"/>
    </font>
    <font>
      <b/>
      <sz val="12"/>
      <color indexed="8"/>
      <name val="Bookman Old Style"/>
      <family val="2"/>
      <charset val="204"/>
    </font>
    <font>
      <b/>
      <sz val="12"/>
      <color indexed="9"/>
      <name val="Bookman Old Style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Bookman Old Style"/>
      <family val="2"/>
      <charset val="204"/>
    </font>
    <font>
      <sz val="12"/>
      <color indexed="20"/>
      <name val="Bookman Old Style"/>
      <family val="2"/>
      <charset val="204"/>
    </font>
    <font>
      <i/>
      <sz val="12"/>
      <color indexed="23"/>
      <name val="Bookman Old Style"/>
      <family val="2"/>
      <charset val="204"/>
    </font>
    <font>
      <sz val="12"/>
      <color indexed="52"/>
      <name val="Bookman Old Style"/>
      <family val="2"/>
      <charset val="204"/>
    </font>
    <font>
      <sz val="12"/>
      <color indexed="10"/>
      <name val="Bookman Old Style"/>
      <family val="2"/>
      <charset val="204"/>
    </font>
    <font>
      <sz val="12"/>
      <color indexed="17"/>
      <name val="Bookman Old Style"/>
      <family val="2"/>
      <charset val="204"/>
    </font>
    <font>
      <sz val="10"/>
      <name val="Arial"/>
      <family val="2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 Cyr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vertAlign val="subscript"/>
      <sz val="10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9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8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24" fillId="0" borderId="0"/>
    <xf numFmtId="0" fontId="19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7" applyNumberFormat="0" applyFont="0" applyAlignment="0" applyProtection="0"/>
    <xf numFmtId="9" fontId="1" fillId="0" borderId="0" applyFon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388">
    <xf numFmtId="0" fontId="0" fillId="0" borderId="0" xfId="0"/>
    <xf numFmtId="0" fontId="0" fillId="0" borderId="0" xfId="0" applyFill="1"/>
    <xf numFmtId="0" fontId="26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/>
    <xf numFmtId="0" fontId="26" fillId="0" borderId="0" xfId="0" applyFont="1" applyFill="1" applyProtection="1"/>
    <xf numFmtId="0" fontId="26" fillId="26" borderId="0" xfId="0" applyFont="1" applyFill="1" applyProtection="1"/>
    <xf numFmtId="49" fontId="37" fillId="0" borderId="0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167" fontId="26" fillId="25" borderId="0" xfId="0" applyNumberFormat="1" applyFont="1" applyFill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</xf>
    <xf numFmtId="166" fontId="26" fillId="0" borderId="0" xfId="0" applyNumberFormat="1" applyFont="1" applyFill="1" applyAlignment="1" applyProtection="1">
      <alignment horizontal="center" vertical="center"/>
    </xf>
    <xf numFmtId="0" fontId="34" fillId="0" borderId="0" xfId="0" applyFont="1" applyFill="1" applyProtection="1"/>
    <xf numFmtId="0" fontId="34" fillId="26" borderId="0" xfId="0" applyFont="1" applyFill="1" applyProtection="1"/>
    <xf numFmtId="167" fontId="26" fillId="25" borderId="13" xfId="0" applyNumberFormat="1" applyFont="1" applyFill="1" applyBorder="1" applyAlignment="1" applyProtection="1">
      <alignment horizontal="center" vertical="center" wrapText="1"/>
    </xf>
    <xf numFmtId="167" fontId="26" fillId="0" borderId="13" xfId="0" applyNumberFormat="1" applyFont="1" applyFill="1" applyBorder="1" applyAlignment="1" applyProtection="1">
      <alignment horizontal="center" vertical="center" wrapText="1"/>
    </xf>
    <xf numFmtId="0" fontId="26" fillId="27" borderId="0" xfId="0" applyFont="1" applyFill="1" applyProtection="1"/>
    <xf numFmtId="167" fontId="34" fillId="0" borderId="13" xfId="0" applyNumberFormat="1" applyFont="1" applyFill="1" applyBorder="1" applyAlignment="1" applyProtection="1">
      <alignment horizontal="center" vertical="center" wrapText="1"/>
    </xf>
    <xf numFmtId="167" fontId="3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Protection="1"/>
    <xf numFmtId="0" fontId="33" fillId="26" borderId="0" xfId="0" applyFont="1" applyFill="1" applyProtection="1"/>
    <xf numFmtId="0" fontId="33" fillId="0" borderId="13" xfId="0" applyFont="1" applyFill="1" applyBorder="1" applyAlignment="1" applyProtection="1">
      <alignment horizontal="center" vertical="center"/>
      <protection locked="0"/>
    </xf>
    <xf numFmtId="0" fontId="26" fillId="26" borderId="13" xfId="0" applyFont="1" applyFill="1" applyBorder="1" applyAlignment="1" applyProtection="1">
      <alignment horizontal="center" vertical="center"/>
    </xf>
    <xf numFmtId="0" fontId="26" fillId="0" borderId="13" xfId="0" applyFont="1" applyFill="1" applyBorder="1" applyAlignment="1" applyProtection="1">
      <alignment horizontal="center" vertical="center"/>
    </xf>
    <xf numFmtId="168" fontId="26" fillId="0" borderId="13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 wrapText="1"/>
    </xf>
    <xf numFmtId="4" fontId="33" fillId="0" borderId="0" xfId="0" applyNumberFormat="1" applyFont="1" applyFill="1" applyAlignment="1" applyProtection="1">
      <alignment vertical="center"/>
    </xf>
    <xf numFmtId="4" fontId="33" fillId="0" borderId="0" xfId="0" applyNumberFormat="1" applyFont="1" applyFill="1" applyAlignment="1" applyProtection="1">
      <alignment horizontal="center" vertical="center"/>
    </xf>
    <xf numFmtId="0" fontId="33" fillId="27" borderId="0" xfId="0" applyFont="1" applyFill="1" applyProtection="1"/>
    <xf numFmtId="167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Protection="1"/>
    <xf numFmtId="0" fontId="31" fillId="27" borderId="0" xfId="0" applyFont="1" applyFill="1" applyProtection="1"/>
    <xf numFmtId="166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13" xfId="0" applyNumberFormat="1" applyFont="1" applyFill="1" applyBorder="1" applyAlignment="1" applyProtection="1">
      <alignment horizontal="center" vertical="center"/>
      <protection locked="0"/>
    </xf>
    <xf numFmtId="167" fontId="34" fillId="0" borderId="13" xfId="0" applyNumberFormat="1" applyFont="1" applyFill="1" applyBorder="1" applyAlignment="1" applyProtection="1">
      <alignment horizontal="center" vertical="center"/>
      <protection locked="0"/>
    </xf>
    <xf numFmtId="167" fontId="26" fillId="0" borderId="13" xfId="0" applyNumberFormat="1" applyFont="1" applyFill="1" applyBorder="1" applyAlignment="1" applyProtection="1">
      <alignment horizontal="center" vertical="center"/>
    </xf>
    <xf numFmtId="167" fontId="31" fillId="0" borderId="13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 wrapText="1"/>
    </xf>
    <xf numFmtId="0" fontId="34" fillId="0" borderId="15" xfId="0" applyFont="1" applyFill="1" applyBorder="1" applyAlignment="1" applyProtection="1">
      <alignment vertical="center" wrapText="1"/>
    </xf>
    <xf numFmtId="49" fontId="34" fillId="0" borderId="13" xfId="0" applyNumberFormat="1" applyFont="1" applyFill="1" applyBorder="1" applyAlignment="1" applyProtection="1">
      <alignment horizontal="center" vertical="center" wrapText="1"/>
    </xf>
    <xf numFmtId="0" fontId="34" fillId="27" borderId="0" xfId="0" applyFont="1" applyFill="1" applyProtection="1"/>
    <xf numFmtId="4" fontId="26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26" fillId="0" borderId="0" xfId="0" applyFont="1" applyFill="1" applyAlignment="1" applyProtection="1">
      <alignment horizontal="right"/>
    </xf>
    <xf numFmtId="0" fontId="26" fillId="26" borderId="0" xfId="0" applyFont="1" applyFill="1" applyAlignment="1" applyProtection="1">
      <alignment horizontal="right"/>
    </xf>
    <xf numFmtId="4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26" borderId="13" xfId="0" applyFont="1" applyFill="1" applyBorder="1" applyAlignment="1" applyProtection="1">
      <alignment horizontal="center" wrapText="1"/>
    </xf>
    <xf numFmtId="0" fontId="20" fillId="0" borderId="0" xfId="0" applyFont="1" applyFill="1" applyProtection="1"/>
    <xf numFmtId="0" fontId="20" fillId="28" borderId="0" xfId="0" applyFont="1" applyFill="1" applyProtection="1"/>
    <xf numFmtId="168" fontId="34" fillId="0" borderId="13" xfId="0" applyNumberFormat="1" applyFont="1" applyFill="1" applyBorder="1" applyAlignment="1" applyProtection="1">
      <alignment horizontal="center" vertical="center"/>
    </xf>
    <xf numFmtId="168" fontId="26" fillId="0" borderId="13" xfId="0" applyNumberFormat="1" applyFont="1" applyFill="1" applyBorder="1" applyAlignment="1" applyProtection="1">
      <alignment horizontal="center" vertical="center"/>
      <protection locked="0"/>
    </xf>
    <xf numFmtId="0" fontId="26" fillId="0" borderId="13" xfId="0" applyFont="1" applyFill="1" applyBorder="1" applyAlignment="1" applyProtection="1">
      <alignment horizontal="center" vertical="center"/>
      <protection locked="0"/>
    </xf>
    <xf numFmtId="167" fontId="29" fillId="0" borderId="13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Protection="1"/>
    <xf numFmtId="0" fontId="29" fillId="26" borderId="0" xfId="0" applyFont="1" applyFill="1" applyProtection="1"/>
    <xf numFmtId="4" fontId="34" fillId="0" borderId="13" xfId="0" applyNumberFormat="1" applyFont="1" applyFill="1" applyBorder="1" applyAlignment="1" applyProtection="1">
      <alignment horizontal="center" vertical="center" wrapText="1"/>
    </xf>
    <xf numFmtId="167" fontId="34" fillId="0" borderId="13" xfId="0" applyNumberFormat="1" applyFont="1" applyFill="1" applyBorder="1" applyAlignment="1" applyProtection="1">
      <alignment horizontal="center" vertical="center"/>
    </xf>
    <xf numFmtId="0" fontId="26" fillId="0" borderId="0" xfId="0" applyFont="1" applyFill="1" applyAlignment="1" applyProtection="1">
      <alignment vertical="top" wrapText="1"/>
    </xf>
    <xf numFmtId="49" fontId="26" fillId="0" borderId="12" xfId="0" applyNumberFormat="1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vertical="center" wrapText="1"/>
    </xf>
    <xf numFmtId="49" fontId="26" fillId="0" borderId="13" xfId="0" applyNumberFormat="1" applyFont="1" applyFill="1" applyBorder="1" applyAlignment="1" applyProtection="1">
      <alignment horizontal="center" vertical="center" wrapText="1"/>
    </xf>
    <xf numFmtId="49" fontId="26" fillId="26" borderId="17" xfId="0" applyNumberFormat="1" applyFont="1" applyFill="1" applyBorder="1" applyAlignment="1" applyProtection="1">
      <alignment horizontal="center" vertical="center"/>
    </xf>
    <xf numFmtId="0" fontId="26" fillId="26" borderId="17" xfId="0" applyFont="1" applyFill="1" applyBorder="1" applyAlignment="1" applyProtection="1">
      <alignment wrapText="1"/>
    </xf>
    <xf numFmtId="0" fontId="26" fillId="26" borderId="17" xfId="0" applyFont="1" applyFill="1" applyBorder="1" applyAlignment="1" applyProtection="1">
      <alignment horizontal="center" wrapText="1"/>
    </xf>
    <xf numFmtId="167" fontId="26" fillId="25" borderId="17" xfId="0" applyNumberFormat="1" applyFont="1" applyFill="1" applyBorder="1" applyAlignment="1" applyProtection="1">
      <alignment horizontal="center" vertical="center" wrapText="1"/>
    </xf>
    <xf numFmtId="0" fontId="26" fillId="26" borderId="17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49" fontId="26" fillId="26" borderId="13" xfId="0" applyNumberFormat="1" applyFont="1" applyFill="1" applyBorder="1" applyProtection="1"/>
    <xf numFmtId="0" fontId="26" fillId="26" borderId="13" xfId="0" applyFont="1" applyFill="1" applyBorder="1" applyAlignment="1" applyProtection="1">
      <alignment wrapText="1"/>
    </xf>
    <xf numFmtId="49" fontId="26" fillId="26" borderId="0" xfId="0" applyNumberFormat="1" applyFont="1" applyFill="1" applyProtection="1"/>
    <xf numFmtId="0" fontId="26" fillId="26" borderId="0" xfId="0" applyFont="1" applyFill="1" applyAlignment="1" applyProtection="1">
      <alignment horizontal="center" wrapText="1"/>
    </xf>
    <xf numFmtId="0" fontId="26" fillId="26" borderId="0" xfId="0" applyFont="1" applyFill="1" applyAlignment="1" applyProtection="1">
      <alignment horizontal="center" vertical="center"/>
    </xf>
    <xf numFmtId="0" fontId="26" fillId="0" borderId="0" xfId="0" applyFont="1" applyProtection="1"/>
    <xf numFmtId="169" fontId="26" fillId="0" borderId="13" xfId="0" applyNumberFormat="1" applyFont="1" applyFill="1" applyBorder="1" applyAlignment="1" applyProtection="1">
      <alignment horizontal="center" vertical="center" wrapText="1"/>
    </xf>
    <xf numFmtId="4" fontId="26" fillId="0" borderId="13" xfId="0" applyNumberFormat="1" applyFont="1" applyFill="1" applyBorder="1" applyAlignment="1" applyProtection="1">
      <alignment horizontal="center" vertical="center" wrapText="1"/>
    </xf>
    <xf numFmtId="170" fontId="26" fillId="0" borderId="13" xfId="0" applyNumberFormat="1" applyFont="1" applyFill="1" applyBorder="1" applyAlignment="1" applyProtection="1">
      <alignment horizontal="center" vertical="center" wrapText="1"/>
    </xf>
    <xf numFmtId="2" fontId="26" fillId="0" borderId="13" xfId="0" applyNumberFormat="1" applyFont="1" applyFill="1" applyBorder="1" applyAlignment="1" applyProtection="1">
      <alignment horizontal="center" vertical="center"/>
      <protection locked="0"/>
    </xf>
    <xf numFmtId="4" fontId="26" fillId="0" borderId="13" xfId="0" applyNumberFormat="1" applyFont="1" applyFill="1" applyBorder="1" applyAlignment="1" applyProtection="1">
      <alignment horizontal="center" vertical="center"/>
      <protection locked="0"/>
    </xf>
    <xf numFmtId="167" fontId="20" fillId="0" borderId="13" xfId="0" applyNumberFormat="1" applyFont="1" applyFill="1" applyBorder="1" applyAlignment="1" applyProtection="1">
      <alignment horizontal="center" vertical="center"/>
    </xf>
    <xf numFmtId="0" fontId="34" fillId="0" borderId="13" xfId="0" applyFont="1" applyFill="1" applyBorder="1" applyAlignment="1" applyProtection="1">
      <alignment horizontal="center" vertical="center"/>
    </xf>
    <xf numFmtId="168" fontId="34" fillId="0" borderId="13" xfId="0" applyNumberFormat="1" applyFont="1" applyFill="1" applyBorder="1" applyAlignment="1" applyProtection="1">
      <alignment horizontal="center" vertical="center"/>
      <protection locked="0"/>
    </xf>
    <xf numFmtId="4" fontId="34" fillId="0" borderId="26" xfId="0" applyNumberFormat="1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4" fontId="34" fillId="0" borderId="13" xfId="0" applyNumberFormat="1" applyFont="1" applyFill="1" applyBorder="1" applyAlignment="1" applyProtection="1">
      <alignment horizontal="center" vertical="center"/>
    </xf>
    <xf numFmtId="167" fontId="0" fillId="0" borderId="0" xfId="0" applyNumberFormat="1"/>
    <xf numFmtId="0" fontId="0" fillId="0" borderId="0" xfId="0"/>
    <xf numFmtId="0" fontId="43" fillId="0" borderId="0" xfId="0" applyFont="1" applyAlignment="1">
      <alignment horizontal="center" vertical="center"/>
    </xf>
    <xf numFmtId="0" fontId="43" fillId="0" borderId="0" xfId="0" applyFont="1"/>
    <xf numFmtId="49" fontId="0" fillId="0" borderId="0" xfId="0" applyNumberFormat="1" applyAlignment="1">
      <alignment horizontal="center"/>
    </xf>
    <xf numFmtId="167" fontId="43" fillId="0" borderId="0" xfId="0" applyNumberFormat="1" applyFont="1"/>
    <xf numFmtId="0" fontId="43" fillId="0" borderId="0" xfId="0" applyFont="1" applyFill="1"/>
    <xf numFmtId="0" fontId="28" fillId="24" borderId="0" xfId="0" applyFont="1" applyFill="1"/>
    <xf numFmtId="4" fontId="43" fillId="0" borderId="0" xfId="0" applyNumberFormat="1" applyFont="1" applyAlignment="1">
      <alignment horizontal="center" vertical="center"/>
    </xf>
    <xf numFmtId="4" fontId="26" fillId="0" borderId="27" xfId="36" applyNumberFormat="1" applyFont="1" applyBorder="1" applyAlignment="1">
      <alignment horizontal="center" vertical="center" wrapText="1"/>
    </xf>
    <xf numFmtId="4" fontId="26" fillId="0" borderId="13" xfId="36" applyNumberFormat="1" applyFont="1" applyBorder="1" applyAlignment="1">
      <alignment horizontal="center" vertical="center" wrapText="1"/>
    </xf>
    <xf numFmtId="4" fontId="43" fillId="0" borderId="13" xfId="0" applyNumberFormat="1" applyFont="1" applyBorder="1" applyAlignment="1">
      <alignment horizontal="center" vertical="center" wrapText="1"/>
    </xf>
    <xf numFmtId="4" fontId="43" fillId="0" borderId="0" xfId="0" applyNumberFormat="1" applyFont="1" applyAlignment="1">
      <alignment vertical="center" wrapText="1"/>
    </xf>
    <xf numFmtId="4" fontId="26" fillId="0" borderId="13" xfId="36" applyNumberFormat="1" applyFont="1" applyFill="1" applyBorder="1" applyAlignment="1">
      <alignment horizontal="center" vertical="center" wrapText="1"/>
    </xf>
    <xf numFmtId="49" fontId="34" fillId="0" borderId="13" xfId="36" applyNumberFormat="1" applyFont="1" applyBorder="1" applyAlignment="1">
      <alignment horizontal="center" vertical="center" wrapText="1"/>
    </xf>
    <xf numFmtId="0" fontId="25" fillId="0" borderId="13" xfId="36" applyFont="1" applyBorder="1" applyAlignment="1">
      <alignment horizontal="center" vertical="center" wrapText="1"/>
    </xf>
    <xf numFmtId="167" fontId="25" fillId="0" borderId="13" xfId="36" applyNumberFormat="1" applyFont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167" fontId="32" fillId="0" borderId="13" xfId="0" applyNumberFormat="1" applyFont="1" applyBorder="1" applyAlignment="1">
      <alignment horizontal="center" vertical="center" wrapText="1"/>
    </xf>
    <xf numFmtId="167" fontId="21" fillId="24" borderId="13" xfId="0" applyNumberFormat="1" applyFont="1" applyFill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167" fontId="34" fillId="0" borderId="13" xfId="0" applyNumberFormat="1" applyFont="1" applyFill="1" applyBorder="1" applyAlignment="1">
      <alignment horizontal="center" vertical="center" wrapText="1"/>
    </xf>
    <xf numFmtId="167" fontId="22" fillId="0" borderId="13" xfId="0" applyNumberFormat="1" applyFont="1" applyFill="1" applyBorder="1" applyAlignment="1">
      <alignment horizontal="center" vertical="center" wrapText="1"/>
    </xf>
    <xf numFmtId="167" fontId="22" fillId="0" borderId="13" xfId="0" applyNumberFormat="1" applyFont="1" applyBorder="1" applyAlignment="1">
      <alignment horizontal="center" vertical="center" wrapText="1"/>
    </xf>
    <xf numFmtId="167" fontId="22" fillId="24" borderId="13" xfId="0" applyNumberFormat="1" applyFont="1" applyFill="1" applyBorder="1" applyAlignment="1">
      <alignment horizontal="center" vertical="center" wrapText="1"/>
    </xf>
    <xf numFmtId="167" fontId="28" fillId="0" borderId="13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36" fillId="0" borderId="0" xfId="0" applyFont="1"/>
    <xf numFmtId="49" fontId="26" fillId="0" borderId="13" xfId="36" applyNumberFormat="1" applyFont="1" applyBorder="1" applyAlignment="1">
      <alignment horizontal="right" vertical="center" wrapText="1"/>
    </xf>
    <xf numFmtId="0" fontId="26" fillId="0" borderId="13" xfId="0" applyNumberFormat="1" applyFont="1" applyBorder="1" applyAlignment="1">
      <alignment horizontal="right" vertical="center" wrapText="1"/>
    </xf>
    <xf numFmtId="167" fontId="26" fillId="0" borderId="13" xfId="0" applyNumberFormat="1" applyFont="1" applyFill="1" applyBorder="1" applyAlignment="1">
      <alignment horizontal="right" vertical="center" wrapText="1"/>
    </xf>
    <xf numFmtId="0" fontId="26" fillId="0" borderId="13" xfId="0" applyFont="1" applyBorder="1" applyAlignment="1">
      <alignment horizontal="right" vertical="center" wrapText="1"/>
    </xf>
    <xf numFmtId="167" fontId="21" fillId="0" borderId="13" xfId="0" applyNumberFormat="1" applyFont="1" applyFill="1" applyBorder="1" applyAlignment="1">
      <alignment horizontal="right" vertical="center" wrapText="1"/>
    </xf>
    <xf numFmtId="167" fontId="21" fillId="0" borderId="13" xfId="0" applyNumberFormat="1" applyFont="1" applyBorder="1" applyAlignment="1">
      <alignment horizontal="right" vertical="center" wrapText="1"/>
    </xf>
    <xf numFmtId="167" fontId="21" fillId="24" borderId="13" xfId="0" applyNumberFormat="1" applyFont="1" applyFill="1" applyBorder="1" applyAlignment="1">
      <alignment horizontal="right" vertical="center" wrapText="1"/>
    </xf>
    <xf numFmtId="0" fontId="28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/>
    </xf>
    <xf numFmtId="4" fontId="26" fillId="0" borderId="13" xfId="0" applyNumberFormat="1" applyFont="1" applyFill="1" applyBorder="1" applyAlignment="1">
      <alignment horizontal="right" vertical="center" wrapText="1"/>
    </xf>
    <xf numFmtId="4" fontId="21" fillId="0" borderId="13" xfId="0" applyNumberFormat="1" applyFont="1" applyBorder="1" applyAlignment="1">
      <alignment horizontal="right" vertical="center" wrapText="1"/>
    </xf>
    <xf numFmtId="4" fontId="21" fillId="24" borderId="13" xfId="0" applyNumberFormat="1" applyFont="1" applyFill="1" applyBorder="1" applyAlignment="1">
      <alignment horizontal="right" vertical="center" wrapText="1"/>
    </xf>
    <xf numFmtId="0" fontId="44" fillId="0" borderId="13" xfId="0" applyFont="1" applyFill="1" applyBorder="1" applyAlignment="1">
      <alignment horizontal="center" vertical="center"/>
    </xf>
    <xf numFmtId="0" fontId="26" fillId="0" borderId="13" xfId="0" applyFont="1" applyBorder="1" applyAlignment="1">
      <alignment horizontal="center" vertical="center" wrapText="1"/>
    </xf>
    <xf numFmtId="166" fontId="23" fillId="0" borderId="13" xfId="0" applyNumberFormat="1" applyFont="1" applyFill="1" applyBorder="1" applyAlignment="1">
      <alignment horizontal="center" vertical="center" wrapText="1"/>
    </xf>
    <xf numFmtId="4" fontId="23" fillId="0" borderId="13" xfId="0" applyNumberFormat="1" applyFont="1" applyBorder="1" applyAlignment="1">
      <alignment horizontal="center" vertical="center" wrapText="1"/>
    </xf>
    <xf numFmtId="166" fontId="23" fillId="24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vertical="top" wrapText="1"/>
    </xf>
    <xf numFmtId="167" fontId="45" fillId="0" borderId="13" xfId="0" applyNumberFormat="1" applyFont="1" applyBorder="1" applyAlignment="1">
      <alignment horizontal="center" vertical="center"/>
    </xf>
    <xf numFmtId="49" fontId="29" fillId="0" borderId="0" xfId="0" applyNumberFormat="1" applyFont="1" applyBorder="1" applyAlignment="1">
      <alignment vertical="center" wrapText="1"/>
    </xf>
    <xf numFmtId="0" fontId="36" fillId="0" borderId="0" xfId="0" applyFont="1" applyBorder="1"/>
    <xf numFmtId="168" fontId="26" fillId="0" borderId="13" xfId="0" applyNumberFormat="1" applyFont="1" applyFill="1" applyBorder="1" applyAlignment="1">
      <alignment horizontal="right" vertical="center" wrapText="1"/>
    </xf>
    <xf numFmtId="168" fontId="21" fillId="0" borderId="13" xfId="0" applyNumberFormat="1" applyFont="1" applyFill="1" applyBorder="1" applyAlignment="1">
      <alignment horizontal="right" vertical="center" wrapText="1"/>
    </xf>
    <xf numFmtId="168" fontId="21" fillId="24" borderId="13" xfId="0" applyNumberFormat="1" applyFont="1" applyFill="1" applyBorder="1" applyAlignment="1">
      <alignment horizontal="right" vertical="center" wrapText="1"/>
    </xf>
    <xf numFmtId="49" fontId="28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167" fontId="46" fillId="0" borderId="13" xfId="0" applyNumberFormat="1" applyFont="1" applyBorder="1" applyAlignment="1">
      <alignment horizontal="right" vertical="center"/>
    </xf>
    <xf numFmtId="49" fontId="26" fillId="0" borderId="13" xfId="36" applyNumberFormat="1" applyFont="1" applyBorder="1" applyAlignment="1">
      <alignment horizontal="center" vertical="center" wrapText="1"/>
    </xf>
    <xf numFmtId="167" fontId="26" fillId="0" borderId="13" xfId="0" applyNumberFormat="1" applyFont="1" applyFill="1" applyBorder="1" applyAlignment="1">
      <alignment horizontal="center" vertical="center" wrapText="1"/>
    </xf>
    <xf numFmtId="167" fontId="21" fillId="0" borderId="13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Border="1" applyAlignment="1">
      <alignment vertical="center" wrapText="1"/>
    </xf>
    <xf numFmtId="0" fontId="26" fillId="0" borderId="13" xfId="0" applyNumberFormat="1" applyFont="1" applyBorder="1" applyAlignment="1">
      <alignment horizontal="center" vertical="center" wrapText="1"/>
    </xf>
    <xf numFmtId="4" fontId="26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167" fontId="23" fillId="0" borderId="13" xfId="0" applyNumberFormat="1" applyFont="1" applyFill="1" applyBorder="1" applyAlignment="1">
      <alignment horizontal="center" vertical="center" wrapText="1"/>
    </xf>
    <xf numFmtId="167" fontId="23" fillId="24" borderId="13" xfId="0" applyNumberFormat="1" applyFont="1" applyFill="1" applyBorder="1" applyAlignment="1">
      <alignment horizontal="center" vertical="center" wrapText="1"/>
    </xf>
    <xf numFmtId="0" fontId="26" fillId="0" borderId="13" xfId="36" applyFont="1" applyBorder="1" applyAlignment="1">
      <alignment horizontal="center" vertical="center" wrapText="1"/>
    </xf>
    <xf numFmtId="168" fontId="38" fillId="0" borderId="13" xfId="0" applyNumberFormat="1" applyFont="1" applyFill="1" applyBorder="1" applyAlignment="1">
      <alignment horizontal="center" vertical="center"/>
    </xf>
    <xf numFmtId="0" fontId="47" fillId="0" borderId="0" xfId="0" applyFont="1"/>
    <xf numFmtId="0" fontId="26" fillId="0" borderId="13" xfId="36" applyFont="1" applyBorder="1" applyAlignment="1">
      <alignment horizontal="right" vertical="center" wrapText="1"/>
    </xf>
    <xf numFmtId="167" fontId="21" fillId="0" borderId="13" xfId="0" applyNumberFormat="1" applyFont="1" applyBorder="1" applyAlignment="1">
      <alignment horizontal="center" vertical="center" wrapText="1"/>
    </xf>
    <xf numFmtId="167" fontId="26" fillId="24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Border="1" applyAlignment="1">
      <alignment horizontal="center" vertical="center" wrapText="1"/>
    </xf>
    <xf numFmtId="167" fontId="29" fillId="24" borderId="13" xfId="0" applyNumberFormat="1" applyFont="1" applyFill="1" applyBorder="1" applyAlignment="1">
      <alignment horizontal="center" vertical="center" wrapText="1"/>
    </xf>
    <xf numFmtId="2" fontId="34" fillId="0" borderId="13" xfId="0" applyNumberFormat="1" applyFont="1" applyFill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4" fontId="22" fillId="0" borderId="13" xfId="0" applyNumberFormat="1" applyFont="1" applyFill="1" applyBorder="1" applyAlignment="1">
      <alignment horizontal="center" vertical="center" wrapText="1"/>
    </xf>
    <xf numFmtId="4" fontId="22" fillId="2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8" fillId="24" borderId="0" xfId="0" applyFont="1" applyFill="1"/>
    <xf numFmtId="4" fontId="26" fillId="24" borderId="13" xfId="36" applyNumberFormat="1" applyFont="1" applyFill="1" applyBorder="1" applyAlignment="1">
      <alignment horizontal="center" vertical="center" wrapText="1"/>
    </xf>
    <xf numFmtId="167" fontId="43" fillId="0" borderId="13" xfId="0" applyNumberFormat="1" applyFont="1" applyFill="1" applyBorder="1" applyAlignment="1">
      <alignment horizontal="center" vertical="center" wrapText="1"/>
    </xf>
    <xf numFmtId="4" fontId="26" fillId="0" borderId="13" xfId="0" applyNumberFormat="1" applyFont="1" applyFill="1" applyBorder="1" applyAlignment="1" applyProtection="1">
      <alignment horizontal="center" vertical="center"/>
    </xf>
    <xf numFmtId="0" fontId="49" fillId="0" borderId="0" xfId="0" applyFont="1" applyFill="1" applyAlignment="1" applyProtection="1">
      <alignment horizontal="left" vertical="center"/>
    </xf>
    <xf numFmtId="0" fontId="26" fillId="0" borderId="0" xfId="0" applyFont="1" applyFill="1" applyAlignment="1" applyProtection="1">
      <alignment horizontal="right" vertical="center"/>
    </xf>
    <xf numFmtId="0" fontId="50" fillId="0" borderId="0" xfId="0" applyFont="1" applyFill="1" applyAlignment="1" applyProtection="1">
      <alignment horizontal="right" vertical="center"/>
    </xf>
    <xf numFmtId="171" fontId="50" fillId="0" borderId="0" xfId="0" applyNumberFormat="1" applyFont="1" applyFill="1" applyAlignment="1" applyProtection="1">
      <alignment horizontal="right" vertical="center"/>
    </xf>
    <xf numFmtId="0" fontId="26" fillId="0" borderId="0" xfId="0" applyFont="1" applyFill="1" applyAlignment="1" applyProtection="1">
      <alignment wrapText="1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 wrapText="1"/>
    </xf>
    <xf numFmtId="167" fontId="26" fillId="0" borderId="0" xfId="0" applyNumberFormat="1" applyFont="1" applyFill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left" vertical="center" wrapText="1"/>
    </xf>
    <xf numFmtId="3" fontId="26" fillId="0" borderId="13" xfId="0" applyNumberFormat="1" applyFont="1" applyFill="1" applyBorder="1" applyAlignment="1" applyProtection="1">
      <alignment horizontal="center" vertical="center" wrapText="1"/>
    </xf>
    <xf numFmtId="0" fontId="26" fillId="0" borderId="15" xfId="0" applyFont="1" applyFill="1" applyBorder="1" applyAlignment="1" applyProtection="1">
      <alignment horizontal="left" vertical="center" wrapText="1" indent="1"/>
    </xf>
    <xf numFmtId="0" fontId="26" fillId="0" borderId="15" xfId="0" applyFont="1" applyFill="1" applyBorder="1" applyAlignment="1" applyProtection="1">
      <alignment horizontal="left" vertical="center" wrapText="1" indent="2"/>
    </xf>
    <xf numFmtId="0" fontId="26" fillId="0" borderId="15" xfId="0" applyFont="1" applyFill="1" applyBorder="1" applyAlignment="1" applyProtection="1">
      <alignment horizontal="left" vertical="center" wrapText="1" indent="3"/>
    </xf>
    <xf numFmtId="49" fontId="25" fillId="0" borderId="12" xfId="0" applyNumberFormat="1" applyFont="1" applyFill="1" applyBorder="1" applyAlignment="1" applyProtection="1">
      <alignment horizontal="center" vertical="center"/>
    </xf>
    <xf numFmtId="0" fontId="25" fillId="0" borderId="15" xfId="0" applyFont="1" applyFill="1" applyBorder="1" applyAlignment="1" applyProtection="1">
      <alignment horizontal="left" vertical="center" wrapText="1"/>
    </xf>
    <xf numFmtId="3" fontId="25" fillId="0" borderId="13" xfId="0" applyNumberFormat="1" applyFont="1" applyFill="1" applyBorder="1" applyAlignment="1" applyProtection="1">
      <alignment horizontal="center" vertical="center" wrapText="1"/>
    </xf>
    <xf numFmtId="167" fontId="25" fillId="0" borderId="13" xfId="0" applyNumberFormat="1" applyFont="1" applyFill="1" applyBorder="1" applyAlignment="1" applyProtection="1">
      <alignment horizontal="center" vertical="center" wrapText="1"/>
    </xf>
    <xf numFmtId="16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70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5" xfId="0" applyNumberFormat="1" applyFont="1" applyFill="1" applyBorder="1" applyAlignment="1" applyProtection="1">
      <alignment horizontal="center" vertical="center" wrapText="1"/>
    </xf>
    <xf numFmtId="49" fontId="26" fillId="0" borderId="12" xfId="0" applyNumberFormat="1" applyFont="1" applyFill="1" applyBorder="1" applyAlignment="1" applyProtection="1">
      <alignment horizontal="center" vertical="center" wrapText="1"/>
    </xf>
    <xf numFmtId="0" fontId="26" fillId="0" borderId="15" xfId="36" applyFont="1" applyFill="1" applyBorder="1" applyAlignment="1" applyProtection="1">
      <alignment vertical="center" wrapText="1"/>
    </xf>
    <xf numFmtId="0" fontId="26" fillId="0" borderId="15" xfId="0" applyFont="1" applyFill="1" applyBorder="1" applyAlignment="1" applyProtection="1">
      <alignment horizontal="left" vertical="center" indent="1"/>
    </xf>
    <xf numFmtId="0" fontId="26" fillId="0" borderId="15" xfId="0" applyNumberFormat="1" applyFont="1" applyFill="1" applyBorder="1" applyAlignment="1" applyProtection="1">
      <alignment horizontal="left" vertical="center" wrapText="1" indent="1"/>
    </xf>
    <xf numFmtId="166" fontId="26" fillId="0" borderId="13" xfId="0" applyNumberFormat="1" applyFont="1" applyFill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3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3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</xf>
    <xf numFmtId="0" fontId="3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5" xfId="0" applyNumberFormat="1" applyFont="1" applyFill="1" applyBorder="1" applyAlignment="1" applyProtection="1">
      <alignment horizontal="left" vertical="center" wrapText="1"/>
    </xf>
    <xf numFmtId="0" fontId="26" fillId="0" borderId="13" xfId="0" applyNumberFormat="1" applyFont="1" applyFill="1" applyBorder="1" applyAlignment="1" applyProtection="1">
      <alignment horizontal="center" vertical="center" wrapText="1"/>
    </xf>
    <xf numFmtId="0" fontId="33" fillId="0" borderId="15" xfId="0" applyNumberFormat="1" applyFont="1" applyFill="1" applyBorder="1" applyAlignment="1" applyProtection="1">
      <alignment horizontal="left" vertical="center" wrapText="1"/>
    </xf>
    <xf numFmtId="49" fontId="33" fillId="0" borderId="13" xfId="0" applyNumberFormat="1" applyFont="1" applyFill="1" applyBorder="1" applyAlignment="1" applyProtection="1">
      <alignment horizontal="center" vertical="center" wrapText="1"/>
    </xf>
    <xf numFmtId="49" fontId="34" fillId="0" borderId="12" xfId="0" applyNumberFormat="1" applyFont="1" applyFill="1" applyBorder="1" applyAlignment="1" applyProtection="1">
      <alignment horizontal="center" vertical="center"/>
    </xf>
    <xf numFmtId="49" fontId="26" fillId="0" borderId="15" xfId="0" applyNumberFormat="1" applyFont="1" applyFill="1" applyBorder="1" applyAlignment="1" applyProtection="1">
      <alignment horizontal="left" vertical="center" wrapText="1" indent="1"/>
    </xf>
    <xf numFmtId="49" fontId="26" fillId="0" borderId="15" xfId="0" applyNumberFormat="1" applyFont="1" applyFill="1" applyBorder="1" applyAlignment="1" applyProtection="1">
      <alignment horizontal="left" vertical="center" wrapText="1" indent="2"/>
    </xf>
    <xf numFmtId="49" fontId="34" fillId="0" borderId="15" xfId="0" applyNumberFormat="1" applyFont="1" applyFill="1" applyBorder="1" applyAlignment="1" applyProtection="1">
      <alignment horizontal="left" vertical="center" wrapText="1"/>
    </xf>
    <xf numFmtId="49" fontId="26" fillId="0" borderId="15" xfId="0" applyNumberFormat="1" applyFont="1" applyFill="1" applyBorder="1" applyAlignment="1" applyProtection="1">
      <alignment horizontal="left" vertical="center" wrapText="1"/>
    </xf>
    <xf numFmtId="0" fontId="34" fillId="0" borderId="15" xfId="0" applyNumberFormat="1" applyFont="1" applyFill="1" applyBorder="1" applyAlignment="1" applyProtection="1">
      <alignment horizontal="left" vertical="center" wrapText="1"/>
    </xf>
    <xf numFmtId="49" fontId="31" fillId="0" borderId="12" xfId="0" applyNumberFormat="1" applyFont="1" applyFill="1" applyBorder="1" applyAlignment="1" applyProtection="1">
      <alignment horizontal="center" vertical="center"/>
    </xf>
    <xf numFmtId="0" fontId="31" fillId="0" borderId="15" xfId="0" applyNumberFormat="1" applyFont="1" applyFill="1" applyBorder="1" applyAlignment="1" applyProtection="1">
      <alignment horizontal="left" vertical="center" wrapText="1"/>
    </xf>
    <xf numFmtId="49" fontId="31" fillId="0" borderId="13" xfId="0" applyNumberFormat="1" applyFont="1" applyFill="1" applyBorder="1" applyAlignment="1" applyProtection="1">
      <alignment horizontal="center" vertical="center" wrapText="1"/>
    </xf>
    <xf numFmtId="166" fontId="26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0" applyNumberFormat="1" applyFont="1" applyFill="1" applyBorder="1" applyAlignment="1" applyProtection="1">
      <alignment horizontal="left" vertical="center" wrapText="1"/>
    </xf>
    <xf numFmtId="49" fontId="34" fillId="0" borderId="15" xfId="0" applyNumberFormat="1" applyFont="1" applyFill="1" applyBorder="1" applyAlignment="1" applyProtection="1">
      <alignment horizontal="left" vertical="center" wrapText="1" indent="1"/>
    </xf>
    <xf numFmtId="0" fontId="26" fillId="0" borderId="15" xfId="0" applyFont="1" applyFill="1" applyBorder="1" applyAlignment="1" applyProtection="1">
      <alignment horizontal="left" vertical="center" indent="3"/>
    </xf>
    <xf numFmtId="49" fontId="26" fillId="0" borderId="15" xfId="0" applyNumberFormat="1" applyFont="1" applyFill="1" applyBorder="1" applyAlignment="1" applyProtection="1">
      <alignment horizontal="left" vertical="center" wrapText="1" indent="5"/>
    </xf>
    <xf numFmtId="49" fontId="26" fillId="0" borderId="15" xfId="0" applyNumberFormat="1" applyFont="1" applyFill="1" applyBorder="1" applyAlignment="1" applyProtection="1">
      <alignment horizontal="left" vertical="center" wrapText="1" indent="3"/>
    </xf>
    <xf numFmtId="49" fontId="30" fillId="0" borderId="12" xfId="0" applyNumberFormat="1" applyFont="1" applyFill="1" applyBorder="1" applyAlignment="1" applyProtection="1">
      <alignment horizontal="right" vertical="center" wrapText="1"/>
    </xf>
    <xf numFmtId="49" fontId="26" fillId="0" borderId="15" xfId="0" applyNumberFormat="1" applyFont="1" applyFill="1" applyBorder="1" applyAlignment="1" applyProtection="1">
      <alignment horizontal="right" vertical="center" wrapText="1" indent="4"/>
    </xf>
    <xf numFmtId="49" fontId="26" fillId="0" borderId="13" xfId="0" applyNumberFormat="1" applyFont="1" applyFill="1" applyBorder="1" applyAlignment="1" applyProtection="1">
      <alignment horizontal="right" vertical="center" wrapText="1"/>
    </xf>
    <xf numFmtId="49" fontId="30" fillId="0" borderId="12" xfId="0" applyNumberFormat="1" applyFont="1" applyFill="1" applyBorder="1" applyAlignment="1" applyProtection="1">
      <alignment horizontal="center" vertical="center" wrapText="1"/>
    </xf>
    <xf numFmtId="49" fontId="26" fillId="0" borderId="15" xfId="0" applyNumberFormat="1" applyFont="1" applyFill="1" applyBorder="1" applyAlignment="1" applyProtection="1">
      <alignment horizontal="left" vertical="center" wrapText="1" indent="4"/>
    </xf>
    <xf numFmtId="49" fontId="26" fillId="0" borderId="12" xfId="0" applyNumberFormat="1" applyFont="1" applyFill="1" applyBorder="1" applyAlignment="1" applyProtection="1">
      <alignment horizontal="right" vertical="center" wrapText="1"/>
    </xf>
    <xf numFmtId="167" fontId="26" fillId="0" borderId="16" xfId="0" applyNumberFormat="1" applyFont="1" applyFill="1" applyBorder="1" applyAlignment="1" applyProtection="1">
      <alignment horizontal="center" vertical="center" wrapText="1"/>
    </xf>
    <xf numFmtId="4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12" xfId="0" applyNumberFormat="1" applyFont="1" applyFill="1" applyBorder="1" applyProtection="1"/>
    <xf numFmtId="0" fontId="26" fillId="0" borderId="15" xfId="0" applyFont="1" applyFill="1" applyBorder="1" applyProtection="1"/>
    <xf numFmtId="0" fontId="26" fillId="0" borderId="13" xfId="0" applyFont="1" applyFill="1" applyBorder="1" applyAlignment="1" applyProtection="1">
      <alignment horizontal="center" wrapText="1"/>
    </xf>
    <xf numFmtId="0" fontId="26" fillId="0" borderId="16" xfId="0" applyFont="1" applyFill="1" applyBorder="1" applyAlignment="1" applyProtection="1">
      <alignment horizontal="center" vertical="center"/>
    </xf>
    <xf numFmtId="168" fontId="34" fillId="0" borderId="16" xfId="0" applyNumberFormat="1" applyFont="1" applyFill="1" applyBorder="1" applyAlignment="1" applyProtection="1">
      <alignment horizontal="center" vertical="center"/>
    </xf>
    <xf numFmtId="168" fontId="26" fillId="0" borderId="16" xfId="0" applyNumberFormat="1" applyFont="1" applyFill="1" applyBorder="1" applyAlignment="1" applyProtection="1">
      <alignment horizontal="center" vertical="center"/>
      <protection locked="0"/>
    </xf>
    <xf numFmtId="168" fontId="26" fillId="0" borderId="16" xfId="0" applyNumberFormat="1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167" fontId="26" fillId="0" borderId="16" xfId="0" applyNumberFormat="1" applyFont="1" applyFill="1" applyBorder="1" applyAlignment="1" applyProtection="1">
      <alignment horizontal="center" vertical="center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5" xfId="0" applyFont="1" applyFill="1" applyBorder="1" applyAlignment="1" applyProtection="1">
      <alignment vertical="center" wrapText="1"/>
    </xf>
    <xf numFmtId="49" fontId="20" fillId="0" borderId="13" xfId="0" applyNumberFormat="1" applyFont="1" applyFill="1" applyBorder="1" applyAlignment="1" applyProtection="1">
      <alignment horizontal="center" vertical="center" wrapText="1"/>
    </xf>
    <xf numFmtId="167" fontId="20" fillId="0" borderId="16" xfId="0" applyNumberFormat="1" applyFont="1" applyFill="1" applyBorder="1" applyAlignment="1" applyProtection="1">
      <alignment horizontal="center" vertical="center"/>
    </xf>
    <xf numFmtId="0" fontId="34" fillId="0" borderId="16" xfId="0" applyFont="1" applyFill="1" applyBorder="1" applyAlignment="1" applyProtection="1">
      <alignment horizontal="center" vertical="center"/>
    </xf>
    <xf numFmtId="0" fontId="34" fillId="0" borderId="15" xfId="0" applyFont="1" applyFill="1" applyBorder="1" applyAlignment="1" applyProtection="1">
      <alignment horizontal="left" vertical="center" wrapText="1"/>
    </xf>
    <xf numFmtId="49" fontId="29" fillId="0" borderId="12" xfId="0" applyNumberFormat="1" applyFont="1" applyFill="1" applyBorder="1" applyAlignment="1" applyProtection="1">
      <alignment horizontal="center" vertical="center" wrapText="1"/>
    </xf>
    <xf numFmtId="0" fontId="29" fillId="0" borderId="15" xfId="0" applyFont="1" applyFill="1" applyBorder="1" applyAlignment="1" applyProtection="1">
      <alignment horizontal="left" vertical="center" wrapText="1"/>
    </xf>
    <xf numFmtId="49" fontId="29" fillId="0" borderId="13" xfId="0" applyNumberFormat="1" applyFont="1" applyFill="1" applyBorder="1" applyAlignment="1" applyProtection="1">
      <alignment horizontal="center" vertical="center" wrapText="1"/>
    </xf>
    <xf numFmtId="49" fontId="26" fillId="0" borderId="12" xfId="0" applyNumberFormat="1" applyFont="1" applyFill="1" applyBorder="1" applyAlignment="1" applyProtection="1">
      <alignment vertical="center" wrapText="1"/>
    </xf>
    <xf numFmtId="0" fontId="26" fillId="0" borderId="13" xfId="0" applyFont="1" applyFill="1" applyBorder="1" applyAlignment="1" applyProtection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left" vertical="center" wrapText="1" indent="2"/>
    </xf>
    <xf numFmtId="49" fontId="33" fillId="0" borderId="15" xfId="0" applyNumberFormat="1" applyFont="1" applyFill="1" applyBorder="1" applyAlignment="1" applyProtection="1">
      <alignment horizontal="left" vertical="center" wrapText="1"/>
    </xf>
    <xf numFmtId="49" fontId="34" fillId="0" borderId="19" xfId="0" applyNumberFormat="1" applyFont="1" applyFill="1" applyBorder="1" applyAlignment="1" applyProtection="1">
      <alignment horizontal="center" vertical="center"/>
    </xf>
    <xf numFmtId="49" fontId="34" fillId="0" borderId="31" xfId="0" applyNumberFormat="1" applyFont="1" applyFill="1" applyBorder="1" applyAlignment="1" applyProtection="1">
      <alignment horizontal="left" vertical="center" wrapText="1"/>
    </xf>
    <xf numFmtId="49" fontId="34" fillId="0" borderId="26" xfId="0" applyNumberFormat="1" applyFont="1" applyFill="1" applyBorder="1" applyAlignment="1" applyProtection="1">
      <alignment horizontal="center" vertical="center" wrapText="1"/>
    </xf>
    <xf numFmtId="167" fontId="26" fillId="0" borderId="27" xfId="0" applyNumberFormat="1" applyFont="1" applyFill="1" applyBorder="1" applyAlignment="1" applyProtection="1">
      <alignment horizontal="center" vertical="center" wrapText="1"/>
    </xf>
    <xf numFmtId="167" fontId="26" fillId="0" borderId="20" xfId="0" applyNumberFormat="1" applyFont="1" applyFill="1" applyBorder="1" applyAlignment="1" applyProtection="1">
      <alignment horizontal="center" vertical="center" wrapText="1"/>
    </xf>
    <xf numFmtId="166" fontId="26" fillId="0" borderId="17" xfId="0" applyNumberFormat="1" applyFont="1" applyFill="1" applyBorder="1" applyAlignment="1" applyProtection="1">
      <alignment horizontal="center" vertical="center"/>
    </xf>
    <xf numFmtId="0" fontId="26" fillId="0" borderId="15" xfId="0" applyNumberFormat="1" applyFont="1" applyFill="1" applyBorder="1" applyAlignment="1" applyProtection="1">
      <alignment horizontal="right" vertical="center" wrapText="1"/>
    </xf>
    <xf numFmtId="167" fontId="26" fillId="0" borderId="13" xfId="0" applyNumberFormat="1" applyFont="1" applyFill="1" applyBorder="1" applyAlignment="1" applyProtection="1">
      <alignment horizontal="right" vertical="center" wrapText="1"/>
    </xf>
    <xf numFmtId="167" fontId="34" fillId="26" borderId="13" xfId="0" applyNumberFormat="1" applyFont="1" applyFill="1" applyBorder="1" applyAlignment="1" applyProtection="1">
      <alignment horizontal="center"/>
    </xf>
    <xf numFmtId="167" fontId="28" fillId="0" borderId="13" xfId="0" applyNumberFormat="1" applyFont="1" applyFill="1" applyBorder="1" applyAlignment="1">
      <alignment horizontal="right" vertical="center" wrapText="1"/>
    </xf>
    <xf numFmtId="167" fontId="28" fillId="0" borderId="13" xfId="0" applyNumberFormat="1" applyFont="1" applyBorder="1" applyAlignment="1">
      <alignment horizontal="center" vertical="center"/>
    </xf>
    <xf numFmtId="167" fontId="29" fillId="0" borderId="13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 applyProtection="1">
      <alignment wrapText="1"/>
    </xf>
    <xf numFmtId="0" fontId="26" fillId="0" borderId="0" xfId="0" applyFont="1" applyFill="1" applyBorder="1" applyProtection="1"/>
    <xf numFmtId="4" fontId="43" fillId="0" borderId="13" xfId="0" applyNumberFormat="1" applyFont="1" applyBorder="1" applyAlignment="1">
      <alignment vertical="center" wrapText="1"/>
    </xf>
    <xf numFmtId="0" fontId="29" fillId="0" borderId="13" xfId="0" applyFont="1" applyBorder="1" applyAlignment="1">
      <alignment vertical="top" wrapText="1"/>
    </xf>
    <xf numFmtId="0" fontId="34" fillId="0" borderId="13" xfId="0" applyFont="1" applyBorder="1" applyAlignment="1">
      <alignment horizontal="left" vertical="center" wrapText="1"/>
    </xf>
    <xf numFmtId="0" fontId="34" fillId="0" borderId="13" xfId="36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top" wrapText="1"/>
    </xf>
    <xf numFmtId="0" fontId="26" fillId="0" borderId="13" xfId="0" applyFont="1" applyBorder="1" applyAlignment="1">
      <alignment vertical="top" wrapText="1"/>
    </xf>
    <xf numFmtId="0" fontId="34" fillId="0" borderId="13" xfId="0" applyFont="1" applyBorder="1" applyAlignment="1">
      <alignment vertical="top" wrapText="1"/>
    </xf>
    <xf numFmtId="0" fontId="26" fillId="0" borderId="13" xfId="0" applyFont="1" applyBorder="1" applyAlignment="1">
      <alignment horizontal="right" vertical="top" wrapText="1"/>
    </xf>
    <xf numFmtId="0" fontId="34" fillId="0" borderId="0" xfId="0" applyFont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0" fontId="34" fillId="0" borderId="13" xfId="0" applyFont="1" applyFill="1" applyBorder="1" applyAlignment="1" applyProtection="1">
      <alignment horizontal="center" vertical="center"/>
      <protection locked="0"/>
    </xf>
    <xf numFmtId="0" fontId="34" fillId="0" borderId="16" xfId="0" applyFont="1" applyFill="1" applyBorder="1" applyAlignment="1" applyProtection="1">
      <alignment horizontal="center" vertical="center"/>
      <protection locked="0"/>
    </xf>
    <xf numFmtId="0" fontId="49" fillId="0" borderId="0" xfId="0" applyFont="1" applyFill="1" applyProtection="1"/>
    <xf numFmtId="167" fontId="26" fillId="0" borderId="28" xfId="0" applyNumberFormat="1" applyFont="1" applyFill="1" applyBorder="1" applyAlignment="1" applyProtection="1">
      <alignment horizontal="center" vertical="center"/>
    </xf>
    <xf numFmtId="0" fontId="26" fillId="26" borderId="10" xfId="0" applyFont="1" applyFill="1" applyBorder="1" applyProtection="1"/>
    <xf numFmtId="0" fontId="26" fillId="26" borderId="0" xfId="0" applyFont="1" applyFill="1" applyBorder="1" applyProtection="1"/>
    <xf numFmtId="0" fontId="34" fillId="0" borderId="0" xfId="0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 applyProtection="1">
      <alignment wrapText="1"/>
    </xf>
    <xf numFmtId="0" fontId="26" fillId="0" borderId="34" xfId="0" applyFont="1" applyFill="1" applyBorder="1" applyAlignment="1" applyProtection="1">
      <alignment wrapText="1"/>
    </xf>
    <xf numFmtId="0" fontId="26" fillId="0" borderId="35" xfId="0" applyFont="1" applyFill="1" applyBorder="1" applyAlignment="1" applyProtection="1">
      <alignment wrapText="1"/>
    </xf>
    <xf numFmtId="0" fontId="26" fillId="26" borderId="34" xfId="0" applyFont="1" applyFill="1" applyBorder="1" applyProtection="1"/>
    <xf numFmtId="0" fontId="33" fillId="0" borderId="34" xfId="0" applyFont="1" applyFill="1" applyBorder="1" applyAlignment="1" applyProtection="1">
      <alignment wrapText="1"/>
    </xf>
    <xf numFmtId="169" fontId="33" fillId="0" borderId="34" xfId="0" applyNumberFormat="1" applyFont="1" applyFill="1" applyBorder="1" applyAlignment="1" applyProtection="1">
      <alignment vertical="center" wrapText="1"/>
    </xf>
    <xf numFmtId="0" fontId="34" fillId="0" borderId="34" xfId="0" applyFont="1" applyFill="1" applyBorder="1" applyAlignment="1" applyProtection="1">
      <alignment wrapText="1"/>
    </xf>
    <xf numFmtId="0" fontId="26" fillId="0" borderId="35" xfId="0" applyFont="1" applyFill="1" applyBorder="1" applyAlignment="1" applyProtection="1">
      <alignment vertical="center" wrapText="1"/>
    </xf>
    <xf numFmtId="10" fontId="26" fillId="0" borderId="36" xfId="0" applyNumberFormat="1" applyFont="1" applyFill="1" applyBorder="1" applyAlignment="1" applyProtection="1">
      <alignment wrapText="1"/>
    </xf>
    <xf numFmtId="167" fontId="34" fillId="0" borderId="34" xfId="0" applyNumberFormat="1" applyFont="1" applyFill="1" applyBorder="1" applyAlignment="1" applyProtection="1">
      <alignment wrapText="1"/>
    </xf>
    <xf numFmtId="10" fontId="26" fillId="0" borderId="35" xfId="0" applyNumberFormat="1" applyFont="1" applyFill="1" applyBorder="1" applyAlignment="1" applyProtection="1">
      <alignment wrapText="1"/>
    </xf>
    <xf numFmtId="0" fontId="31" fillId="0" borderId="34" xfId="0" applyFont="1" applyFill="1" applyBorder="1" applyAlignment="1" applyProtection="1">
      <alignment wrapText="1"/>
    </xf>
    <xf numFmtId="0" fontId="26" fillId="0" borderId="34" xfId="0" applyFont="1" applyFill="1" applyBorder="1" applyAlignment="1" applyProtection="1">
      <alignment vertical="center" wrapText="1"/>
    </xf>
    <xf numFmtId="0" fontId="26" fillId="0" borderId="36" xfId="0" applyFont="1" applyFill="1" applyBorder="1" applyAlignment="1" applyProtection="1">
      <alignment wrapText="1"/>
    </xf>
    <xf numFmtId="0" fontId="34" fillId="0" borderId="36" xfId="0" applyFont="1" applyFill="1" applyBorder="1" applyAlignment="1" applyProtection="1">
      <alignment wrapText="1"/>
    </xf>
    <xf numFmtId="0" fontId="52" fillId="0" borderId="35" xfId="0" applyFont="1" applyFill="1" applyBorder="1" applyAlignment="1">
      <alignment horizontal="left" vertical="center" wrapText="1"/>
    </xf>
    <xf numFmtId="167" fontId="28" fillId="0" borderId="35" xfId="0" applyNumberFormat="1" applyFont="1" applyFill="1" applyBorder="1" applyAlignment="1">
      <alignment horizontal="left" vertical="center" wrapText="1"/>
    </xf>
    <xf numFmtId="0" fontId="34" fillId="26" borderId="34" xfId="0" applyFont="1" applyFill="1" applyBorder="1" applyProtection="1"/>
    <xf numFmtId="0" fontId="26" fillId="0" borderId="34" xfId="0" applyFont="1" applyFill="1" applyBorder="1" applyAlignment="1" applyProtection="1">
      <alignment vertical="top" wrapText="1"/>
    </xf>
    <xf numFmtId="0" fontId="26" fillId="0" borderId="34" xfId="0" applyFont="1" applyFill="1" applyBorder="1" applyAlignment="1" applyProtection="1">
      <alignment horizontal="left" vertical="top" wrapText="1"/>
    </xf>
    <xf numFmtId="0" fontId="26" fillId="0" borderId="36" xfId="0" applyFont="1" applyFill="1" applyBorder="1" applyAlignment="1" applyProtection="1">
      <alignment vertical="top" wrapText="1"/>
    </xf>
    <xf numFmtId="0" fontId="26" fillId="0" borderId="35" xfId="0" applyFont="1" applyFill="1" applyBorder="1" applyAlignment="1" applyProtection="1">
      <alignment horizontal="left" vertical="center" wrapText="1"/>
    </xf>
    <xf numFmtId="4" fontId="26" fillId="0" borderId="34" xfId="0" applyNumberFormat="1" applyFont="1" applyFill="1" applyBorder="1" applyAlignment="1" applyProtection="1">
      <alignment horizontal="left" vertical="center" wrapText="1"/>
    </xf>
    <xf numFmtId="4" fontId="26" fillId="0" borderId="37" xfId="0" applyNumberFormat="1" applyFont="1" applyFill="1" applyBorder="1" applyAlignment="1" applyProtection="1">
      <alignment horizontal="left" vertical="center" wrapText="1"/>
    </xf>
    <xf numFmtId="0" fontId="26" fillId="26" borderId="35" xfId="0" applyFont="1" applyFill="1" applyBorder="1" applyProtection="1"/>
    <xf numFmtId="0" fontId="29" fillId="0" borderId="34" xfId="0" applyFont="1" applyFill="1" applyBorder="1" applyAlignment="1" applyProtection="1">
      <alignment wrapText="1"/>
    </xf>
    <xf numFmtId="9" fontId="26" fillId="0" borderId="35" xfId="0" applyNumberFormat="1" applyFont="1" applyFill="1" applyBorder="1" applyAlignment="1" applyProtection="1">
      <alignment wrapText="1"/>
    </xf>
    <xf numFmtId="0" fontId="35" fillId="0" borderId="35" xfId="0" applyFont="1" applyFill="1" applyBorder="1" applyAlignment="1" applyProtection="1">
      <alignment vertical="center" wrapText="1"/>
    </xf>
    <xf numFmtId="0" fontId="34" fillId="0" borderId="37" xfId="0" applyFont="1" applyFill="1" applyBorder="1" applyAlignment="1" applyProtection="1">
      <alignment wrapText="1"/>
    </xf>
    <xf numFmtId="0" fontId="26" fillId="0" borderId="38" xfId="0" applyFont="1" applyFill="1" applyBorder="1" applyAlignment="1" applyProtection="1">
      <alignment wrapText="1"/>
    </xf>
    <xf numFmtId="0" fontId="33" fillId="0" borderId="39" xfId="0" applyFont="1" applyFill="1" applyBorder="1" applyAlignment="1" applyProtection="1">
      <alignment horizontal="left" vertical="center" wrapText="1"/>
    </xf>
    <xf numFmtId="167" fontId="26" fillId="0" borderId="40" xfId="0" applyNumberFormat="1" applyFont="1" applyFill="1" applyBorder="1" applyAlignment="1" applyProtection="1">
      <alignment horizontal="center" vertical="center" wrapText="1"/>
    </xf>
    <xf numFmtId="0" fontId="33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40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</xf>
    <xf numFmtId="168" fontId="26" fillId="0" borderId="40" xfId="0" applyNumberFormat="1" applyFont="1" applyFill="1" applyBorder="1" applyAlignment="1" applyProtection="1">
      <alignment horizontal="center" vertical="center"/>
    </xf>
    <xf numFmtId="167" fontId="33" fillId="0" borderId="40" xfId="0" applyNumberFormat="1" applyFont="1" applyFill="1" applyBorder="1" applyAlignment="1" applyProtection="1">
      <alignment horizontal="center" vertical="center" wrapText="1"/>
    </xf>
    <xf numFmtId="167" fontId="34" fillId="0" borderId="40" xfId="0" applyNumberFormat="1" applyFont="1" applyFill="1" applyBorder="1" applyAlignment="1" applyProtection="1">
      <alignment horizontal="center" vertical="center" wrapText="1"/>
    </xf>
    <xf numFmtId="167" fontId="26" fillId="0" borderId="40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40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40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40" xfId="0" applyNumberFormat="1" applyFont="1" applyFill="1" applyBorder="1" applyAlignment="1" applyProtection="1">
      <alignment horizontal="center" vertical="center"/>
      <protection locked="0"/>
    </xf>
    <xf numFmtId="167" fontId="34" fillId="0" borderId="40" xfId="0" applyNumberFormat="1" applyFont="1" applyFill="1" applyBorder="1" applyAlignment="1" applyProtection="1">
      <alignment horizontal="center" vertical="center"/>
      <protection locked="0"/>
    </xf>
    <xf numFmtId="167" fontId="26" fillId="0" borderId="40" xfId="0" applyNumberFormat="1" applyFont="1" applyFill="1" applyBorder="1" applyAlignment="1" applyProtection="1">
      <alignment horizontal="center" vertical="center"/>
    </xf>
    <xf numFmtId="167" fontId="31" fillId="0" borderId="40" xfId="0" applyNumberFormat="1" applyFont="1" applyFill="1" applyBorder="1" applyAlignment="1" applyProtection="1">
      <alignment horizontal="center" vertical="center" wrapText="1"/>
    </xf>
    <xf numFmtId="168" fontId="34" fillId="0" borderId="40" xfId="0" applyNumberFormat="1" applyFont="1" applyFill="1" applyBorder="1" applyAlignment="1" applyProtection="1">
      <alignment horizontal="center" vertical="center"/>
    </xf>
    <xf numFmtId="168" fontId="26" fillId="0" borderId="40" xfId="0" applyNumberFormat="1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167" fontId="29" fillId="0" borderId="40" xfId="0" applyNumberFormat="1" applyFont="1" applyFill="1" applyBorder="1" applyAlignment="1" applyProtection="1">
      <alignment horizontal="center" vertical="center"/>
      <protection locked="0"/>
    </xf>
    <xf numFmtId="4" fontId="34" fillId="0" borderId="40" xfId="0" applyNumberFormat="1" applyFont="1" applyFill="1" applyBorder="1" applyAlignment="1" applyProtection="1">
      <alignment horizontal="center" vertical="center" wrapText="1"/>
    </xf>
    <xf numFmtId="167" fontId="34" fillId="0" borderId="40" xfId="0" applyNumberFormat="1" applyFont="1" applyFill="1" applyBorder="1" applyAlignment="1" applyProtection="1">
      <alignment horizontal="center" vertical="center"/>
    </xf>
    <xf numFmtId="10" fontId="34" fillId="0" borderId="41" xfId="0" applyNumberFormat="1" applyFont="1" applyFill="1" applyBorder="1" applyAlignment="1" applyProtection="1">
      <alignment horizontal="center" vertical="center"/>
    </xf>
    <xf numFmtId="167" fontId="25" fillId="0" borderId="16" xfId="0" applyNumberFormat="1" applyFont="1" applyFill="1" applyBorder="1" applyAlignment="1" applyProtection="1">
      <alignment horizontal="center" vertical="center" wrapText="1"/>
    </xf>
    <xf numFmtId="169" fontId="26" fillId="0" borderId="16" xfId="0" applyNumberFormat="1" applyFont="1" applyFill="1" applyBorder="1" applyAlignment="1" applyProtection="1">
      <alignment horizontal="center" vertical="center" wrapText="1"/>
    </xf>
    <xf numFmtId="4" fontId="26" fillId="0" borderId="16" xfId="0" applyNumberFormat="1" applyFont="1" applyFill="1" applyBorder="1" applyAlignment="1" applyProtection="1">
      <alignment horizontal="center" vertical="center" wrapText="1"/>
    </xf>
    <xf numFmtId="170" fontId="26" fillId="0" borderId="16" xfId="0" applyNumberFormat="1" applyFont="1" applyFill="1" applyBorder="1" applyAlignment="1" applyProtection="1">
      <alignment horizontal="center" vertical="center" wrapText="1"/>
    </xf>
    <xf numFmtId="167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/>
      <protection locked="0"/>
    </xf>
    <xf numFmtId="167" fontId="33" fillId="0" borderId="16" xfId="0" applyNumberFormat="1" applyFont="1" applyFill="1" applyBorder="1" applyAlignment="1" applyProtection="1">
      <alignment horizontal="center" vertical="center" wrapText="1"/>
    </xf>
    <xf numFmtId="167" fontId="34" fillId="0" borderId="16" xfId="0" applyNumberFormat="1" applyFont="1" applyFill="1" applyBorder="1" applyAlignment="1" applyProtection="1">
      <alignment horizontal="center" vertical="center" wrapText="1"/>
    </xf>
    <xf numFmtId="167" fontId="26" fillId="0" borderId="16" xfId="0" applyNumberFormat="1" applyFont="1" applyFill="1" applyBorder="1" applyAlignment="1" applyProtection="1">
      <alignment horizontal="center" vertical="center"/>
    </xf>
    <xf numFmtId="167" fontId="31" fillId="0" borderId="16" xfId="0" applyNumberFormat="1" applyFont="1" applyFill="1" applyBorder="1" applyAlignment="1" applyProtection="1">
      <alignment horizontal="center" vertical="center" wrapText="1"/>
    </xf>
    <xf numFmtId="167" fontId="34" fillId="0" borderId="16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16" xfId="0" applyNumberFormat="1" applyFont="1" applyFill="1" applyBorder="1" applyAlignment="1" applyProtection="1">
      <alignment horizontal="center" vertical="center"/>
      <protection locked="0"/>
    </xf>
    <xf numFmtId="2" fontId="26" fillId="0" borderId="16" xfId="0" applyNumberFormat="1" applyFont="1" applyFill="1" applyBorder="1" applyAlignment="1" applyProtection="1">
      <alignment horizontal="center" vertical="center"/>
      <protection locked="0"/>
    </xf>
    <xf numFmtId="4" fontId="26" fillId="0" borderId="16" xfId="0" applyNumberFormat="1" applyFont="1" applyFill="1" applyBorder="1" applyAlignment="1" applyProtection="1">
      <alignment horizontal="center" vertical="center"/>
      <protection locked="0"/>
    </xf>
    <xf numFmtId="4" fontId="26" fillId="0" borderId="16" xfId="0" applyNumberFormat="1" applyFont="1" applyFill="1" applyBorder="1" applyAlignment="1" applyProtection="1">
      <alignment horizontal="right" vertical="center" wrapText="1"/>
      <protection locked="0"/>
    </xf>
    <xf numFmtId="167" fontId="29" fillId="0" borderId="16" xfId="0" applyNumberFormat="1" applyFont="1" applyFill="1" applyBorder="1" applyAlignment="1" applyProtection="1">
      <alignment horizontal="center" vertical="center"/>
      <protection locked="0"/>
    </xf>
    <xf numFmtId="168" fontId="34" fillId="0" borderId="16" xfId="0" applyNumberFormat="1" applyFont="1" applyFill="1" applyBorder="1" applyAlignment="1" applyProtection="1">
      <alignment horizontal="center" vertical="center"/>
      <protection locked="0"/>
    </xf>
    <xf numFmtId="4" fontId="34" fillId="0" borderId="16" xfId="0" applyNumberFormat="1" applyFont="1" applyFill="1" applyBorder="1" applyAlignment="1" applyProtection="1">
      <alignment horizontal="center" vertical="center" wrapText="1"/>
    </xf>
    <xf numFmtId="167" fontId="34" fillId="0" borderId="16" xfId="0" applyNumberFormat="1" applyFont="1" applyFill="1" applyBorder="1" applyAlignment="1" applyProtection="1">
      <alignment horizontal="center" vertical="center"/>
    </xf>
    <xf numFmtId="4" fontId="34" fillId="0" borderId="43" xfId="0" applyNumberFormat="1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left" vertical="center" wrapText="1"/>
    </xf>
    <xf numFmtId="0" fontId="33" fillId="0" borderId="21" xfId="0" applyFont="1" applyFill="1" applyBorder="1" applyAlignment="1" applyProtection="1">
      <alignment horizontal="left" vertical="center" wrapText="1"/>
    </xf>
    <xf numFmtId="0" fontId="33" fillId="0" borderId="42" xfId="0" applyFont="1" applyFill="1" applyBorder="1" applyAlignment="1" applyProtection="1">
      <alignment horizontal="left" vertical="center" wrapText="1"/>
    </xf>
    <xf numFmtId="0" fontId="33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3" fillId="0" borderId="16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</xf>
    <xf numFmtId="0" fontId="51" fillId="0" borderId="0" xfId="0" applyFont="1" applyFill="1" applyBorder="1" applyAlignment="1" applyProtection="1">
      <alignment horizontal="center" wrapText="1"/>
    </xf>
    <xf numFmtId="0" fontId="50" fillId="0" borderId="0" xfId="0" applyFont="1" applyFill="1" applyAlignment="1" applyProtection="1">
      <alignment horizontal="right" vertical="center"/>
    </xf>
    <xf numFmtId="0" fontId="26" fillId="0" borderId="35" xfId="0" applyFont="1" applyFill="1" applyBorder="1" applyAlignment="1" applyProtection="1">
      <alignment horizontal="left" vertical="center" wrapText="1"/>
    </xf>
    <xf numFmtId="0" fontId="26" fillId="0" borderId="25" xfId="0" applyFont="1" applyFill="1" applyBorder="1" applyAlignment="1" applyProtection="1">
      <alignment horizontal="center" vertical="center" wrapText="1"/>
    </xf>
    <xf numFmtId="0" fontId="26" fillId="0" borderId="22" xfId="0" applyFont="1" applyFill="1" applyBorder="1" applyAlignment="1" applyProtection="1">
      <alignment horizontal="center" vertical="center" wrapText="1"/>
    </xf>
    <xf numFmtId="0" fontId="26" fillId="0" borderId="0" xfId="0" applyFont="1" applyFill="1" applyAlignment="1" applyProtection="1">
      <alignment horizontal="center" vertical="center"/>
    </xf>
    <xf numFmtId="0" fontId="26" fillId="0" borderId="0" xfId="0" applyFont="1" applyFill="1" applyAlignment="1" applyProtection="1">
      <alignment horizontal="center" vertical="center" wrapText="1"/>
    </xf>
    <xf numFmtId="0" fontId="26" fillId="0" borderId="11" xfId="0" applyFont="1" applyFill="1" applyBorder="1" applyAlignment="1" applyProtection="1">
      <alignment horizontal="left"/>
    </xf>
    <xf numFmtId="49" fontId="26" fillId="0" borderId="32" xfId="0" applyNumberFormat="1" applyFont="1" applyFill="1" applyBorder="1" applyAlignment="1" applyProtection="1">
      <alignment horizontal="center" vertical="center" wrapText="1"/>
    </xf>
    <xf numFmtId="49" fontId="26" fillId="0" borderId="14" xfId="0" applyNumberFormat="1" applyFont="1" applyFill="1" applyBorder="1" applyAlignment="1" applyProtection="1">
      <alignment horizontal="center" vertical="center" wrapText="1"/>
    </xf>
    <xf numFmtId="166" fontId="26" fillId="0" borderId="30" xfId="0" applyNumberFormat="1" applyFont="1" applyFill="1" applyBorder="1" applyAlignment="1" applyProtection="1">
      <alignment horizontal="center" vertical="center" wrapText="1"/>
    </xf>
    <xf numFmtId="166" fontId="26" fillId="0" borderId="23" xfId="0" applyNumberFormat="1" applyFont="1" applyFill="1" applyBorder="1" applyAlignment="1" applyProtection="1">
      <alignment horizontal="center" vertical="center" wrapText="1"/>
    </xf>
    <xf numFmtId="167" fontId="34" fillId="0" borderId="30" xfId="0" applyNumberFormat="1" applyFont="1" applyFill="1" applyBorder="1" applyAlignment="1" applyProtection="1">
      <alignment horizontal="center" vertical="center" wrapText="1"/>
      <protection locked="0"/>
    </xf>
    <xf numFmtId="167" fontId="34" fillId="0" borderId="23" xfId="0" applyNumberFormat="1" applyFont="1" applyFill="1" applyBorder="1" applyAlignment="1" applyProtection="1">
      <alignment horizontal="center" vertical="center" wrapText="1"/>
      <protection locked="0"/>
    </xf>
    <xf numFmtId="167" fontId="26" fillId="0" borderId="30" xfId="36" applyNumberFormat="1" applyFont="1" applyFill="1" applyBorder="1" applyAlignment="1" applyProtection="1">
      <alignment horizontal="center" vertical="center" wrapText="1"/>
      <protection locked="0"/>
    </xf>
    <xf numFmtId="167" fontId="26" fillId="0" borderId="23" xfId="36" applyNumberFormat="1" applyFont="1" applyFill="1" applyBorder="1" applyAlignment="1" applyProtection="1">
      <alignment horizontal="center" vertical="center" wrapText="1"/>
      <protection locked="0"/>
    </xf>
    <xf numFmtId="167" fontId="34" fillId="0" borderId="30" xfId="36" applyNumberFormat="1" applyFont="1" applyFill="1" applyBorder="1" applyAlignment="1" applyProtection="1">
      <alignment horizontal="center" vertical="center" wrapText="1"/>
      <protection locked="0"/>
    </xf>
    <xf numFmtId="167" fontId="34" fillId="0" borderId="23" xfId="36" applyNumberFormat="1" applyFont="1" applyFill="1" applyBorder="1" applyAlignment="1" applyProtection="1">
      <alignment horizontal="center" vertical="center" wrapText="1"/>
      <protection locked="0"/>
    </xf>
    <xf numFmtId="166" fontId="34" fillId="0" borderId="30" xfId="0" applyNumberFormat="1" applyFont="1" applyFill="1" applyBorder="1" applyAlignment="1" applyProtection="1">
      <alignment horizontal="center" vertical="center" wrapText="1"/>
    </xf>
    <xf numFmtId="166" fontId="34" fillId="0" borderId="23" xfId="0" applyNumberFormat="1" applyFont="1" applyFill="1" applyBorder="1" applyAlignment="1" applyProtection="1">
      <alignment horizontal="center" vertical="center" wrapText="1"/>
    </xf>
    <xf numFmtId="167" fontId="26" fillId="0" borderId="24" xfId="36" applyNumberFormat="1" applyFont="1" applyFill="1" applyBorder="1" applyAlignment="1" applyProtection="1">
      <alignment horizontal="center" vertical="center" wrapText="1"/>
    </xf>
    <xf numFmtId="167" fontId="26" fillId="0" borderId="29" xfId="36" applyNumberFormat="1" applyFont="1" applyFill="1" applyBorder="1" applyAlignment="1" applyProtection="1">
      <alignment horizontal="center" vertical="center" wrapText="1"/>
    </xf>
    <xf numFmtId="167" fontId="26" fillId="0" borderId="30" xfId="36" applyNumberFormat="1" applyFont="1" applyFill="1" applyBorder="1" applyAlignment="1" applyProtection="1">
      <alignment horizontal="center" vertical="center" wrapText="1"/>
    </xf>
    <xf numFmtId="167" fontId="26" fillId="0" borderId="23" xfId="36" applyNumberFormat="1" applyFont="1" applyFill="1" applyBorder="1" applyAlignment="1" applyProtection="1">
      <alignment horizontal="center" vertical="center" wrapText="1"/>
    </xf>
    <xf numFmtId="0" fontId="27" fillId="0" borderId="0" xfId="0" applyFont="1" applyFill="1" applyBorder="1" applyAlignment="1" applyProtection="1">
      <alignment horizontal="center" vertical="center" wrapText="1"/>
    </xf>
    <xf numFmtId="0" fontId="28" fillId="0" borderId="0" xfId="0" applyFont="1" applyBorder="1" applyAlignment="1">
      <alignment horizontal="left" vertical="top" wrapText="1"/>
    </xf>
    <xf numFmtId="0" fontId="42" fillId="0" borderId="0" xfId="0" applyFont="1" applyAlignment="1">
      <alignment horizontal="center" vertical="center" wrapText="1"/>
    </xf>
  </cellXfs>
  <cellStyles count="49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/>
    <cellStyle name="Акцент2" xfId="20"/>
    <cellStyle name="Акцент3" xfId="21"/>
    <cellStyle name="Акцент4" xfId="22"/>
    <cellStyle name="Акцент5" xfId="23"/>
    <cellStyle name="Акцент6" xfId="24"/>
    <cellStyle name="Ввод " xfId="25"/>
    <cellStyle name="Вывод" xfId="26"/>
    <cellStyle name="Вычисление" xfId="27"/>
    <cellStyle name="Заголовок 1" xfId="28"/>
    <cellStyle name="Заголовок 2" xfId="29"/>
    <cellStyle name="Заголовок 3" xfId="30"/>
    <cellStyle name="Заголовок 4" xfId="31"/>
    <cellStyle name="Итог" xfId="32"/>
    <cellStyle name="Контрольная ячейка" xfId="33"/>
    <cellStyle name="Название" xfId="34"/>
    <cellStyle name="Нейтральный" xfId="35"/>
    <cellStyle name="Обычный" xfId="0" builtinId="0"/>
    <cellStyle name="Обычный 2" xfId="36"/>
    <cellStyle name="Обычный 3" xfId="37"/>
    <cellStyle name="Обычный 4" xfId="38"/>
    <cellStyle name="Плохой" xfId="39"/>
    <cellStyle name="Пояснение" xfId="40"/>
    <cellStyle name="Примечание" xfId="41"/>
    <cellStyle name="Процентный 2" xfId="42"/>
    <cellStyle name="Связанная ячейка" xfId="43"/>
    <cellStyle name="Текст предупреждения" xfId="44"/>
    <cellStyle name="Финансовый 2" xfId="45"/>
    <cellStyle name="Финансовый 3" xfId="46"/>
    <cellStyle name="Финансовый 4" xfId="47"/>
    <cellStyle name="Хороший" xfId="48"/>
  </cellStyles>
  <dxfs count="0"/>
  <tableStyles count="0" defaultTableStyle="TableStyleMedium9" defaultPivotStyle="PivotStyleLight16"/>
  <colors>
    <mruColors>
      <color rgb="FF9900FF"/>
      <color rgb="FFCC99FF"/>
      <color rgb="FF9966FF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%20&#1088;&#1072;&#1073;&#1086;&#1095;&#1080;&#1077;/&#1054;&#1054;&#1054;%20&#1041;&#1069;&#1050;/&#1072;&#1085;&#1072;&#1083;&#1080;&#1079;%20&#1041;&#1069;&#1050;/2017/2017%20&#1091;&#1090;&#1074;&#1077;&#1088;&#1078;&#1076;&#1077;&#1085;&#1086;%20&#1041;&#1069;&#1050;%20&#1045;&#1058;&#10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zavina/&#1076;&#1086;&#1082;&#1091;&#1084;&#1077;&#1085;&#1090;&#1099;%20&#1088;&#1072;&#1073;&#1086;&#1095;&#1080;&#1077;/&#1054;&#1054;&#1054;%20&#1055;&#1041;&#1058;&#1056;/&#1058;&#1072;&#1088;&#1080;&#1092;%20&#1055;&#1041;&#1058;&#1056;/&#1058;&#1072;&#1088;&#1080;&#1092;%20&#1055;&#1041;&#1058;&#1056;%202019/02%20&#1055;&#1077;&#1088;&#1077;&#1076;&#1072;&#1095;&#1072;%20&#1055;&#1041;&#1058;&#1056;%202019&#1075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zavina/Desktop/&#1064;&#1072;&#1073;&#1083;&#1086;&#1085;&#1099;%20&#1085;&#1072;%202018/2018%20&#1090;&#1077;&#1087;&#1083;&#1086;&#1085;&#1086;&#1089;&#1080;&#1090;&#1077;&#1083;&#1100;%20&#1040;&#1058;&#1050;%20&#1089;%20&#1074;&#1086;&#1079;&#1088;&#1072;&#1078;&#1077;&#1085;&#1080;&#1103;&#1084;&#1080;%20&#1076;&#1083;&#1103;%20&#1087;&#1088;&#1077;&#1076;.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Э 17"/>
      <sheetName val="ТН 17"/>
    </sheetNames>
    <sheetDataSet>
      <sheetData sheetId="0">
        <row r="36">
          <cell r="E36">
            <v>170244.24599999998</v>
          </cell>
        </row>
        <row r="40">
          <cell r="E40">
            <v>39236.531832000001</v>
          </cell>
        </row>
        <row r="45">
          <cell r="E45">
            <v>21060.000000000004</v>
          </cell>
        </row>
        <row r="48">
          <cell r="E48">
            <v>53062.000000000007</v>
          </cell>
        </row>
        <row r="109">
          <cell r="E109">
            <v>29486.159230009442</v>
          </cell>
        </row>
        <row r="110">
          <cell r="E110">
            <v>8243.6000403479939</v>
          </cell>
        </row>
        <row r="113">
          <cell r="E113">
            <v>30988.096898385254</v>
          </cell>
        </row>
        <row r="128">
          <cell r="E128">
            <v>92.63649087675357</v>
          </cell>
        </row>
        <row r="129">
          <cell r="E129">
            <v>2360.3525549999999</v>
          </cell>
        </row>
        <row r="137">
          <cell r="E137">
            <v>38.200000000000003</v>
          </cell>
        </row>
        <row r="142">
          <cell r="E142">
            <v>46.16469</v>
          </cell>
        </row>
        <row r="146">
          <cell r="E146">
            <v>9955.9828655046422</v>
          </cell>
        </row>
        <row r="155">
          <cell r="E155">
            <v>145.07146</v>
          </cell>
        </row>
        <row r="157">
          <cell r="E157">
            <v>1258.51656</v>
          </cell>
        </row>
        <row r="161">
          <cell r="E161">
            <v>566.9</v>
          </cell>
        </row>
        <row r="163">
          <cell r="E163">
            <v>0</v>
          </cell>
        </row>
        <row r="174">
          <cell r="E174">
            <v>58.351999999999997</v>
          </cell>
        </row>
        <row r="180">
          <cell r="E180">
            <v>21.700534563547755</v>
          </cell>
        </row>
        <row r="184">
          <cell r="E184">
            <v>109791.7048292258</v>
          </cell>
        </row>
        <row r="185">
          <cell r="E185">
            <v>1566.1016949152543</v>
          </cell>
        </row>
        <row r="220">
          <cell r="E220">
            <v>22839.238915641585</v>
          </cell>
        </row>
        <row r="323">
          <cell r="E323">
            <v>7473.4537341055675</v>
          </cell>
        </row>
        <row r="325">
          <cell r="E325">
            <v>0</v>
          </cell>
        </row>
        <row r="327">
          <cell r="E327">
            <v>28951.333906122745</v>
          </cell>
        </row>
        <row r="330">
          <cell r="E330">
            <v>5574.8035231003842</v>
          </cell>
        </row>
        <row r="335">
          <cell r="E335">
            <v>16209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ВВ ПБТР 19"/>
      <sheetName val="аренда"/>
    </sheetNames>
    <sheetDataSet>
      <sheetData sheetId="0">
        <row r="315">
          <cell r="I315">
            <v>71262.916214877798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писка"/>
      <sheetName val="ТЕПЛОНОСИТЕЛЬ 2018"/>
    </sheetNames>
    <sheetDataSet>
      <sheetData sheetId="0"/>
      <sheetData sheetId="1">
        <row r="7">
          <cell r="H7">
            <v>1001.64158756066</v>
          </cell>
        </row>
        <row r="8">
          <cell r="H8">
            <v>16.510000000000002</v>
          </cell>
        </row>
        <row r="12">
          <cell r="H12">
            <v>451</v>
          </cell>
        </row>
        <row r="13">
          <cell r="H13">
            <v>156</v>
          </cell>
        </row>
        <row r="14">
          <cell r="H14">
            <v>679.3498816</v>
          </cell>
        </row>
        <row r="17">
          <cell r="H17">
            <v>66949.159999999989</v>
          </cell>
        </row>
        <row r="25">
          <cell r="H25">
            <v>21353.501090980346</v>
          </cell>
        </row>
        <row r="28">
          <cell r="H28">
            <v>1.5060968000000001</v>
          </cell>
        </row>
        <row r="34">
          <cell r="H34">
            <v>805.06544867390221</v>
          </cell>
        </row>
        <row r="43">
          <cell r="H43">
            <v>982.83636756066005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1"/>
  <sheetViews>
    <sheetView topLeftCell="A4" zoomScale="90" zoomScaleNormal="90" workbookViewId="0">
      <pane xSplit="4" ySplit="5" topLeftCell="F331" activePane="bottomRight" state="frozen"/>
      <selection activeCell="A4" sqref="A4"/>
      <selection pane="topRight" activeCell="E4" sqref="E4"/>
      <selection pane="bottomLeft" activeCell="A8" sqref="A8"/>
      <selection pane="bottomRight" activeCell="A5" sqref="A5:C5"/>
    </sheetView>
  </sheetViews>
  <sheetFormatPr defaultRowHeight="12.75"/>
  <cols>
    <col min="1" max="1" width="6.5703125" style="68" customWidth="1"/>
    <col min="2" max="2" width="42.140625" style="5" customWidth="1"/>
    <col min="3" max="3" width="11.85546875" style="69" customWidth="1"/>
    <col min="4" max="4" width="15.42578125" style="9" hidden="1" customWidth="1"/>
    <col min="5" max="5" width="13.140625" style="70" hidden="1" customWidth="1"/>
    <col min="6" max="6" width="15" style="10" customWidth="1"/>
    <col min="7" max="7" width="16.7109375" style="11" customWidth="1"/>
    <col min="8" max="8" width="14.85546875" style="70" hidden="1" customWidth="1"/>
    <col min="9" max="9" width="13.7109375" style="70" hidden="1" customWidth="1"/>
    <col min="10" max="10" width="15.28515625" style="10" hidden="1" customWidth="1"/>
    <col min="11" max="11" width="42" style="172" customWidth="1"/>
    <col min="12" max="12" width="14" style="4" customWidth="1"/>
    <col min="13" max="13" width="13.5703125" style="4" customWidth="1"/>
    <col min="14" max="30" width="9.140625" style="4"/>
    <col min="31" max="16384" width="9.140625" style="71"/>
  </cols>
  <sheetData>
    <row r="1" spans="1:30" s="5" customFormat="1">
      <c r="A1" s="366" t="s">
        <v>19</v>
      </c>
      <c r="B1" s="366"/>
      <c r="C1" s="366"/>
      <c r="D1" s="366"/>
      <c r="E1" s="2"/>
      <c r="F1" s="2" t="s">
        <v>475</v>
      </c>
      <c r="G1" s="3"/>
      <c r="H1" s="3"/>
      <c r="I1" s="3"/>
      <c r="J1" s="3"/>
      <c r="K1" s="172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s="5" customFormat="1" ht="34.5" customHeight="1">
      <c r="A2" s="367" t="s">
        <v>20</v>
      </c>
      <c r="B2" s="367"/>
      <c r="C2" s="367"/>
      <c r="D2" s="367"/>
      <c r="E2" s="367"/>
      <c r="F2" s="367"/>
      <c r="G2" s="367"/>
      <c r="H2" s="367"/>
      <c r="I2" s="367"/>
      <c r="J2" s="174"/>
      <c r="K2" s="17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s="5" customFormat="1">
      <c r="A3" s="6"/>
      <c r="B3" s="7"/>
      <c r="C3" s="8"/>
      <c r="D3" s="175"/>
      <c r="E3" s="173"/>
      <c r="F3" s="173"/>
      <c r="G3" s="11"/>
      <c r="H3" s="173"/>
      <c r="I3" s="173"/>
      <c r="J3" s="173"/>
      <c r="K3" s="172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s="5" customFormat="1" ht="42" customHeight="1">
      <c r="A4" s="385" t="s">
        <v>613</v>
      </c>
      <c r="B4" s="385"/>
      <c r="C4" s="385"/>
      <c r="D4" s="385"/>
      <c r="E4" s="385"/>
      <c r="F4" s="385"/>
      <c r="G4" s="385"/>
      <c r="H4" s="385"/>
      <c r="I4" s="385"/>
      <c r="J4" s="385"/>
      <c r="K4" s="38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s="5" customFormat="1" ht="13.5" thickBot="1">
      <c r="A5" s="368" t="s">
        <v>21</v>
      </c>
      <c r="B5" s="368"/>
      <c r="C5" s="368"/>
      <c r="D5" s="175"/>
      <c r="E5" s="173"/>
      <c r="F5" s="173" t="s">
        <v>476</v>
      </c>
      <c r="G5" s="11"/>
      <c r="H5" s="173"/>
      <c r="I5" s="173"/>
      <c r="J5" s="173"/>
      <c r="K5" s="172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s="13" customFormat="1" ht="12.75" customHeight="1">
      <c r="A6" s="369" t="s">
        <v>7</v>
      </c>
      <c r="B6" s="371" t="s">
        <v>22</v>
      </c>
      <c r="C6" s="371" t="s">
        <v>1</v>
      </c>
      <c r="D6" s="373" t="s">
        <v>23</v>
      </c>
      <c r="E6" s="375" t="s">
        <v>562</v>
      </c>
      <c r="F6" s="377" t="s">
        <v>566</v>
      </c>
      <c r="G6" s="379" t="s">
        <v>567</v>
      </c>
      <c r="H6" s="381" t="s">
        <v>24</v>
      </c>
      <c r="I6" s="382"/>
      <c r="J6" s="383" t="s">
        <v>25</v>
      </c>
      <c r="K6" s="364" t="s">
        <v>26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s="13" customFormat="1" ht="36" customHeight="1" thickBot="1">
      <c r="A7" s="370"/>
      <c r="B7" s="372"/>
      <c r="C7" s="372"/>
      <c r="D7" s="374"/>
      <c r="E7" s="376"/>
      <c r="F7" s="378"/>
      <c r="G7" s="380"/>
      <c r="H7" s="252" t="s">
        <v>27</v>
      </c>
      <c r="I7" s="253" t="s">
        <v>28</v>
      </c>
      <c r="J7" s="384"/>
      <c r="K7" s="365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s="5" customFormat="1" ht="13.5" customHeight="1">
      <c r="A8" s="176" t="s">
        <v>29</v>
      </c>
      <c r="B8" s="354" t="s">
        <v>30</v>
      </c>
      <c r="C8" s="355"/>
      <c r="D8" s="355"/>
      <c r="E8" s="355"/>
      <c r="F8" s="355"/>
      <c r="G8" s="355"/>
      <c r="H8" s="355"/>
      <c r="I8" s="356"/>
      <c r="J8" s="311"/>
      <c r="K8" s="281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s="5" customFormat="1">
      <c r="A9" s="57" t="s">
        <v>31</v>
      </c>
      <c r="B9" s="177" t="s">
        <v>32</v>
      </c>
      <c r="C9" s="178" t="s">
        <v>2</v>
      </c>
      <c r="D9" s="15">
        <f>D11</f>
        <v>274638</v>
      </c>
      <c r="E9" s="15">
        <f>E11</f>
        <v>283602.77783199999</v>
      </c>
      <c r="F9" s="15">
        <f>F11</f>
        <v>272401.63750000001</v>
      </c>
      <c r="G9" s="15">
        <f>G32</f>
        <v>272401.63750000001</v>
      </c>
      <c r="H9" s="15">
        <v>281038.52903199999</v>
      </c>
      <c r="I9" s="225">
        <v>281038.52903199999</v>
      </c>
      <c r="J9" s="312">
        <f>G9-F9</f>
        <v>0</v>
      </c>
      <c r="K9" s="282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s="5" customFormat="1">
      <c r="A10" s="57" t="s">
        <v>33</v>
      </c>
      <c r="B10" s="177" t="s">
        <v>34</v>
      </c>
      <c r="C10" s="178" t="s">
        <v>2</v>
      </c>
      <c r="D10" s="29">
        <v>0</v>
      </c>
      <c r="E10" s="29">
        <v>0</v>
      </c>
      <c r="F10" s="29">
        <v>0</v>
      </c>
      <c r="G10" s="29">
        <v>0</v>
      </c>
      <c r="H10" s="15">
        <v>0</v>
      </c>
      <c r="I10" s="225">
        <v>0</v>
      </c>
      <c r="J10" s="312">
        <f t="shared" ref="J10:J73" si="0">G10-F10</f>
        <v>0</v>
      </c>
      <c r="K10" s="282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s="5" customFormat="1" ht="25.5">
      <c r="A11" s="57" t="s">
        <v>33</v>
      </c>
      <c r="B11" s="177" t="s">
        <v>35</v>
      </c>
      <c r="C11" s="178" t="s">
        <v>2</v>
      </c>
      <c r="D11" s="15">
        <f>D32</f>
        <v>274638</v>
      </c>
      <c r="E11" s="15">
        <f>E32</f>
        <v>283602.77783199999</v>
      </c>
      <c r="F11" s="15">
        <f>F32</f>
        <v>272401.63750000001</v>
      </c>
      <c r="G11" s="15">
        <f>G32</f>
        <v>272401.63750000001</v>
      </c>
      <c r="H11" s="15">
        <v>281038.52903199999</v>
      </c>
      <c r="I11" s="225">
        <v>281038.52903199999</v>
      </c>
      <c r="J11" s="312">
        <f t="shared" si="0"/>
        <v>0</v>
      </c>
      <c r="K11" s="283" t="s">
        <v>577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s="5" customFormat="1" hidden="1">
      <c r="A12" s="57" t="s">
        <v>36</v>
      </c>
      <c r="B12" s="177" t="s">
        <v>37</v>
      </c>
      <c r="C12" s="178" t="s">
        <v>2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225">
        <v>0</v>
      </c>
      <c r="J12" s="312">
        <f t="shared" si="0"/>
        <v>0</v>
      </c>
      <c r="K12" s="282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s="5" customFormat="1" ht="25.5" hidden="1">
      <c r="A13" s="57" t="s">
        <v>38</v>
      </c>
      <c r="B13" s="179" t="s">
        <v>39</v>
      </c>
      <c r="C13" s="178" t="s">
        <v>2</v>
      </c>
      <c r="D13" s="29"/>
      <c r="E13" s="29"/>
      <c r="F13" s="29"/>
      <c r="G13" s="29"/>
      <c r="H13" s="15">
        <v>0</v>
      </c>
      <c r="I13" s="225">
        <v>0</v>
      </c>
      <c r="J13" s="312">
        <f t="shared" si="0"/>
        <v>0</v>
      </c>
      <c r="K13" s="282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s="5" customFormat="1" hidden="1">
      <c r="A14" s="57" t="s">
        <v>40</v>
      </c>
      <c r="B14" s="179" t="s">
        <v>41</v>
      </c>
      <c r="C14" s="178" t="s">
        <v>2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225">
        <v>0</v>
      </c>
      <c r="J14" s="312">
        <f t="shared" si="0"/>
        <v>0</v>
      </c>
      <c r="K14" s="282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s="5" customFormat="1" hidden="1">
      <c r="A15" s="57" t="s">
        <v>42</v>
      </c>
      <c r="B15" s="180" t="s">
        <v>43</v>
      </c>
      <c r="C15" s="178" t="s">
        <v>2</v>
      </c>
      <c r="D15" s="29"/>
      <c r="E15" s="29"/>
      <c r="F15" s="29"/>
      <c r="G15" s="29"/>
      <c r="H15" s="15">
        <v>0</v>
      </c>
      <c r="I15" s="225">
        <v>0</v>
      </c>
      <c r="J15" s="312">
        <f t="shared" si="0"/>
        <v>0</v>
      </c>
      <c r="K15" s="282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s="5" customFormat="1" ht="15.75" hidden="1">
      <c r="A16" s="57" t="s">
        <v>44</v>
      </c>
      <c r="B16" s="181" t="s">
        <v>45</v>
      </c>
      <c r="C16" s="72" t="s">
        <v>46</v>
      </c>
      <c r="D16" s="29"/>
      <c r="E16" s="29"/>
      <c r="F16" s="29"/>
      <c r="G16" s="29"/>
      <c r="H16" s="15">
        <v>0</v>
      </c>
      <c r="I16" s="225">
        <v>0</v>
      </c>
      <c r="J16" s="312">
        <f t="shared" si="0"/>
        <v>0</v>
      </c>
      <c r="K16" s="282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s="5" customFormat="1" ht="15.75" hidden="1">
      <c r="A17" s="57" t="s">
        <v>47</v>
      </c>
      <c r="B17" s="181" t="s">
        <v>48</v>
      </c>
      <c r="C17" s="178" t="s">
        <v>49</v>
      </c>
      <c r="D17" s="29"/>
      <c r="E17" s="29"/>
      <c r="F17" s="29"/>
      <c r="G17" s="29"/>
      <c r="H17" s="15">
        <v>0</v>
      </c>
      <c r="I17" s="225">
        <v>0</v>
      </c>
      <c r="J17" s="312">
        <f t="shared" si="0"/>
        <v>0</v>
      </c>
      <c r="K17" s="282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s="5" customFormat="1" hidden="1">
      <c r="A18" s="57" t="s">
        <v>50</v>
      </c>
      <c r="B18" s="181" t="e">
        <v>#VALUE!</v>
      </c>
      <c r="C18" s="178" t="s">
        <v>51</v>
      </c>
      <c r="D18" s="29"/>
      <c r="E18" s="29"/>
      <c r="F18" s="29"/>
      <c r="G18" s="29"/>
      <c r="H18" s="15">
        <v>0</v>
      </c>
      <c r="I18" s="225">
        <v>0</v>
      </c>
      <c r="J18" s="312">
        <f t="shared" si="0"/>
        <v>0</v>
      </c>
      <c r="K18" s="282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s="5" customFormat="1" hidden="1">
      <c r="A19" s="57" t="s">
        <v>52</v>
      </c>
      <c r="B19" s="180" t="s">
        <v>53</v>
      </c>
      <c r="C19" s="178" t="s">
        <v>2</v>
      </c>
      <c r="D19" s="29"/>
      <c r="E19" s="29"/>
      <c r="F19" s="29"/>
      <c r="G19" s="29"/>
      <c r="H19" s="15">
        <v>0</v>
      </c>
      <c r="I19" s="225">
        <v>0</v>
      </c>
      <c r="J19" s="312">
        <f t="shared" si="0"/>
        <v>0</v>
      </c>
      <c r="K19" s="282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s="5" customFormat="1" ht="25.5" hidden="1">
      <c r="A20" s="57" t="s">
        <v>54</v>
      </c>
      <c r="B20" s="181" t="s">
        <v>55</v>
      </c>
      <c r="C20" s="73" t="s">
        <v>56</v>
      </c>
      <c r="D20" s="29"/>
      <c r="E20" s="29"/>
      <c r="F20" s="29"/>
      <c r="G20" s="29"/>
      <c r="H20" s="15">
        <v>0</v>
      </c>
      <c r="I20" s="225">
        <v>0</v>
      </c>
      <c r="J20" s="312">
        <f t="shared" si="0"/>
        <v>0</v>
      </c>
      <c r="K20" s="282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5" customFormat="1" ht="15.75" hidden="1">
      <c r="A21" s="57" t="s">
        <v>57</v>
      </c>
      <c r="B21" s="181" t="s">
        <v>58</v>
      </c>
      <c r="C21" s="73" t="s">
        <v>59</v>
      </c>
      <c r="D21" s="29"/>
      <c r="E21" s="29"/>
      <c r="F21" s="29"/>
      <c r="G21" s="29"/>
      <c r="H21" s="15"/>
      <c r="I21" s="225"/>
      <c r="J21" s="312">
        <f t="shared" si="0"/>
        <v>0</v>
      </c>
      <c r="K21" s="282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s="5" customFormat="1" hidden="1">
      <c r="A22" s="57" t="s">
        <v>60</v>
      </c>
      <c r="B22" s="181" t="s">
        <v>61</v>
      </c>
      <c r="C22" s="178" t="s">
        <v>5</v>
      </c>
      <c r="D22" s="29"/>
      <c r="E22" s="29"/>
      <c r="F22" s="29"/>
      <c r="G22" s="29"/>
      <c r="H22" s="15">
        <v>0</v>
      </c>
      <c r="I22" s="225">
        <v>0</v>
      </c>
      <c r="J22" s="312">
        <f t="shared" si="0"/>
        <v>0</v>
      </c>
      <c r="K22" s="282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s="5" customFormat="1" hidden="1">
      <c r="A23" s="57" t="s">
        <v>62</v>
      </c>
      <c r="B23" s="181" t="s">
        <v>63</v>
      </c>
      <c r="C23" s="178" t="s">
        <v>51</v>
      </c>
      <c r="D23" s="29"/>
      <c r="E23" s="29"/>
      <c r="F23" s="29"/>
      <c r="G23" s="29"/>
      <c r="H23" s="15">
        <v>0</v>
      </c>
      <c r="I23" s="225">
        <v>0</v>
      </c>
      <c r="J23" s="312">
        <f t="shared" si="0"/>
        <v>0</v>
      </c>
      <c r="K23" s="282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s="5" customFormat="1" hidden="1">
      <c r="A24" s="57" t="s">
        <v>64</v>
      </c>
      <c r="B24" s="179" t="s">
        <v>65</v>
      </c>
      <c r="C24" s="178" t="s">
        <v>2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225">
        <v>0</v>
      </c>
      <c r="J24" s="312">
        <f t="shared" si="0"/>
        <v>0</v>
      </c>
      <c r="K24" s="282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s="5" customFormat="1" hidden="1">
      <c r="A25" s="57" t="s">
        <v>66</v>
      </c>
      <c r="B25" s="180" t="s">
        <v>67</v>
      </c>
      <c r="C25" s="178" t="s">
        <v>2</v>
      </c>
      <c r="D25" s="29"/>
      <c r="E25" s="29"/>
      <c r="F25" s="29"/>
      <c r="G25" s="29"/>
      <c r="H25" s="15">
        <v>0</v>
      </c>
      <c r="I25" s="225">
        <v>0</v>
      </c>
      <c r="J25" s="312">
        <f t="shared" si="0"/>
        <v>0</v>
      </c>
      <c r="K25" s="282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s="5" customFormat="1" hidden="1">
      <c r="A26" s="57" t="s">
        <v>68</v>
      </c>
      <c r="B26" s="180" t="s">
        <v>69</v>
      </c>
      <c r="C26" s="178" t="s">
        <v>2</v>
      </c>
      <c r="D26" s="29"/>
      <c r="E26" s="29"/>
      <c r="F26" s="29"/>
      <c r="G26" s="29"/>
      <c r="H26" s="15">
        <v>0</v>
      </c>
      <c r="I26" s="225">
        <v>0</v>
      </c>
      <c r="J26" s="312">
        <f t="shared" si="0"/>
        <v>0</v>
      </c>
      <c r="K26" s="282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s="5" customFormat="1" hidden="1">
      <c r="A27" s="57" t="s">
        <v>70</v>
      </c>
      <c r="B27" s="179" t="s">
        <v>71</v>
      </c>
      <c r="C27" s="178" t="s">
        <v>2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225">
        <v>0</v>
      </c>
      <c r="J27" s="312">
        <f t="shared" si="0"/>
        <v>0</v>
      </c>
      <c r="K27" s="282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s="5" customFormat="1" hidden="1">
      <c r="A28" s="57" t="s">
        <v>72</v>
      </c>
      <c r="B28" s="180" t="s">
        <v>67</v>
      </c>
      <c r="C28" s="178" t="s">
        <v>2</v>
      </c>
      <c r="D28" s="29"/>
      <c r="E28" s="29"/>
      <c r="F28" s="29"/>
      <c r="G28" s="29"/>
      <c r="H28" s="15">
        <v>0</v>
      </c>
      <c r="I28" s="225">
        <v>0</v>
      </c>
      <c r="J28" s="312">
        <f t="shared" si="0"/>
        <v>0</v>
      </c>
      <c r="K28" s="282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s="5" customFormat="1" hidden="1">
      <c r="A29" s="57" t="s">
        <v>73</v>
      </c>
      <c r="B29" s="180" t="s">
        <v>69</v>
      </c>
      <c r="C29" s="178" t="s">
        <v>2</v>
      </c>
      <c r="D29" s="29"/>
      <c r="E29" s="29"/>
      <c r="F29" s="29"/>
      <c r="G29" s="29"/>
      <c r="H29" s="15">
        <v>0</v>
      </c>
      <c r="I29" s="225">
        <v>0</v>
      </c>
      <c r="J29" s="312">
        <f t="shared" si="0"/>
        <v>0</v>
      </c>
      <c r="K29" s="282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s="5" customFormat="1" hidden="1">
      <c r="A30" s="57" t="s">
        <v>74</v>
      </c>
      <c r="B30" s="179" t="s">
        <v>75</v>
      </c>
      <c r="C30" s="178" t="s">
        <v>2</v>
      </c>
      <c r="D30" s="29"/>
      <c r="E30" s="29"/>
      <c r="F30" s="29"/>
      <c r="G30" s="29"/>
      <c r="H30" s="15">
        <v>0</v>
      </c>
      <c r="I30" s="225">
        <v>0</v>
      </c>
      <c r="J30" s="312">
        <f t="shared" si="0"/>
        <v>0</v>
      </c>
      <c r="K30" s="282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s="5" customFormat="1" hidden="1">
      <c r="A31" s="57" t="s">
        <v>36</v>
      </c>
      <c r="B31" s="177" t="s">
        <v>18</v>
      </c>
      <c r="C31" s="178" t="s">
        <v>2</v>
      </c>
      <c r="D31" s="29">
        <v>0</v>
      </c>
      <c r="E31" s="29">
        <v>0</v>
      </c>
      <c r="F31" s="29">
        <v>0</v>
      </c>
      <c r="G31" s="29">
        <v>0</v>
      </c>
      <c r="H31" s="15">
        <v>0</v>
      </c>
      <c r="I31" s="225">
        <v>0</v>
      </c>
      <c r="J31" s="312">
        <f t="shared" si="0"/>
        <v>0</v>
      </c>
      <c r="K31" s="282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s="16" customFormat="1">
      <c r="A32" s="182" t="s">
        <v>76</v>
      </c>
      <c r="B32" s="183" t="s">
        <v>77</v>
      </c>
      <c r="C32" s="184" t="s">
        <v>2</v>
      </c>
      <c r="D32" s="185">
        <f>D34+D44+D47</f>
        <v>274638</v>
      </c>
      <c r="E32" s="185">
        <f>E34+E44+E47</f>
        <v>283602.77783199999</v>
      </c>
      <c r="F32" s="185">
        <f>F34+F44+F47</f>
        <v>272401.63750000001</v>
      </c>
      <c r="G32" s="185">
        <f>G34+G44+G47</f>
        <v>272401.63750000001</v>
      </c>
      <c r="H32" s="185">
        <v>281038.52903199999</v>
      </c>
      <c r="I32" s="333">
        <v>281038.52903199999</v>
      </c>
      <c r="J32" s="312">
        <f t="shared" si="0"/>
        <v>0</v>
      </c>
      <c r="K32" s="282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s="5" customFormat="1" ht="25.5">
      <c r="A33" s="57" t="s">
        <v>78</v>
      </c>
      <c r="B33" s="179" t="s">
        <v>39</v>
      </c>
      <c r="C33" s="178" t="s">
        <v>2</v>
      </c>
      <c r="D33" s="29">
        <v>0</v>
      </c>
      <c r="E33" s="29">
        <v>0</v>
      </c>
      <c r="F33" s="15">
        <v>0</v>
      </c>
      <c r="G33" s="29">
        <v>0</v>
      </c>
      <c r="H33" s="15">
        <v>0</v>
      </c>
      <c r="I33" s="225">
        <v>0</v>
      </c>
      <c r="J33" s="312">
        <f t="shared" si="0"/>
        <v>0</v>
      </c>
      <c r="K33" s="282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s="5" customFormat="1">
      <c r="A34" s="57" t="s">
        <v>79</v>
      </c>
      <c r="B34" s="179" t="s">
        <v>41</v>
      </c>
      <c r="C34" s="178" t="s">
        <v>2</v>
      </c>
      <c r="D34" s="17">
        <f>D35+D39</f>
        <v>203283</v>
      </c>
      <c r="E34" s="17">
        <f>E35+E39</f>
        <v>209480.77783199999</v>
      </c>
      <c r="F34" s="17">
        <f>F35+F39</f>
        <v>199126.73749999999</v>
      </c>
      <c r="G34" s="17">
        <f>G35+G39</f>
        <v>199126.73749999999</v>
      </c>
      <c r="H34" s="15">
        <v>206916.52903199999</v>
      </c>
      <c r="I34" s="225">
        <v>206916.52903199999</v>
      </c>
      <c r="J34" s="312">
        <f t="shared" si="0"/>
        <v>0</v>
      </c>
      <c r="K34" s="282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s="5" customFormat="1">
      <c r="A35" s="57" t="s">
        <v>80</v>
      </c>
      <c r="B35" s="180" t="s">
        <v>43</v>
      </c>
      <c r="C35" s="178" t="s">
        <v>2</v>
      </c>
      <c r="D35" s="18">
        <v>155946</v>
      </c>
      <c r="E35" s="18">
        <f>'[1]ТЭ 17'!$E$36</f>
        <v>170244.24599999998</v>
      </c>
      <c r="F35" s="15">
        <v>167950.78099999999</v>
      </c>
      <c r="G35" s="29">
        <f>F35</f>
        <v>167950.78099999999</v>
      </c>
      <c r="H35" s="15">
        <v>167679.99719999998</v>
      </c>
      <c r="I35" s="225">
        <v>167679.99719999998</v>
      </c>
      <c r="J35" s="312">
        <f t="shared" si="0"/>
        <v>0</v>
      </c>
      <c r="K35" s="282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s="5" customFormat="1" ht="15.75">
      <c r="A36" s="57" t="s">
        <v>81</v>
      </c>
      <c r="B36" s="58" t="s">
        <v>82</v>
      </c>
      <c r="C36" s="72" t="s">
        <v>46</v>
      </c>
      <c r="D36" s="186">
        <v>0.03</v>
      </c>
      <c r="E36" s="186">
        <v>0.03</v>
      </c>
      <c r="F36" s="72">
        <v>0.03</v>
      </c>
      <c r="G36" s="186">
        <v>0.03</v>
      </c>
      <c r="H36" s="72">
        <v>0.03</v>
      </c>
      <c r="I36" s="334">
        <v>0.03</v>
      </c>
      <c r="J36" s="312">
        <f t="shared" si="0"/>
        <v>0</v>
      </c>
      <c r="K36" s="282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s="5" customFormat="1" ht="15.75">
      <c r="A37" s="57" t="s">
        <v>83</v>
      </c>
      <c r="B37" s="58" t="s">
        <v>84</v>
      </c>
      <c r="C37" s="178" t="s">
        <v>49</v>
      </c>
      <c r="D37" s="29" t="s">
        <v>12</v>
      </c>
      <c r="E37" s="29" t="s">
        <v>12</v>
      </c>
      <c r="F37" s="15" t="s">
        <v>12</v>
      </c>
      <c r="G37" s="29" t="s">
        <v>12</v>
      </c>
      <c r="H37" s="15" t="s">
        <v>12</v>
      </c>
      <c r="I37" s="225" t="s">
        <v>12</v>
      </c>
      <c r="J37" s="312"/>
      <c r="K37" s="282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s="5" customFormat="1">
      <c r="A38" s="57" t="s">
        <v>85</v>
      </c>
      <c r="B38" s="58" t="s">
        <v>86</v>
      </c>
      <c r="C38" s="178" t="s">
        <v>51</v>
      </c>
      <c r="D38" s="29">
        <v>12</v>
      </c>
      <c r="E38" s="29">
        <v>12</v>
      </c>
      <c r="F38" s="15">
        <v>12</v>
      </c>
      <c r="G38" s="29">
        <v>12</v>
      </c>
      <c r="H38" s="15">
        <v>12</v>
      </c>
      <c r="I38" s="225">
        <v>12</v>
      </c>
      <c r="J38" s="312">
        <f t="shared" si="0"/>
        <v>0</v>
      </c>
      <c r="K38" s="282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s="5" customFormat="1">
      <c r="A39" s="57" t="s">
        <v>87</v>
      </c>
      <c r="B39" s="180" t="s">
        <v>53</v>
      </c>
      <c r="C39" s="178" t="s">
        <v>2</v>
      </c>
      <c r="D39" s="18">
        <v>47337</v>
      </c>
      <c r="E39" s="18">
        <f>'[1]ТЭ 17'!$E$40</f>
        <v>39236.531832000001</v>
      </c>
      <c r="F39" s="15">
        <v>31175.9565</v>
      </c>
      <c r="G39" s="18">
        <f>F39</f>
        <v>31175.9565</v>
      </c>
      <c r="H39" s="15">
        <v>39236.531832000001</v>
      </c>
      <c r="I39" s="225">
        <v>39236.531832000001</v>
      </c>
      <c r="J39" s="312">
        <f t="shared" si="0"/>
        <v>0</v>
      </c>
      <c r="K39" s="282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s="5" customFormat="1" ht="15" customHeight="1">
      <c r="A40" s="57" t="s">
        <v>88</v>
      </c>
      <c r="B40" s="58" t="s">
        <v>89</v>
      </c>
      <c r="C40" s="73" t="s">
        <v>56</v>
      </c>
      <c r="D40" s="44" t="s">
        <v>12</v>
      </c>
      <c r="E40" s="44" t="s">
        <v>12</v>
      </c>
      <c r="F40" s="73" t="s">
        <v>12</v>
      </c>
      <c r="G40" s="44" t="s">
        <v>12</v>
      </c>
      <c r="H40" s="73" t="s">
        <v>12</v>
      </c>
      <c r="I40" s="335" t="s">
        <v>12</v>
      </c>
      <c r="J40" s="312"/>
      <c r="K40" s="282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s="5" customFormat="1" ht="15.75">
      <c r="A41" s="57" t="s">
        <v>90</v>
      </c>
      <c r="B41" s="58" t="s">
        <v>58</v>
      </c>
      <c r="C41" s="73" t="s">
        <v>59</v>
      </c>
      <c r="D41" s="187">
        <v>0.06</v>
      </c>
      <c r="E41" s="187">
        <v>0.06</v>
      </c>
      <c r="F41" s="74">
        <v>0.06</v>
      </c>
      <c r="G41" s="187">
        <v>0.06</v>
      </c>
      <c r="H41" s="74">
        <v>0.06</v>
      </c>
      <c r="I41" s="336">
        <v>0.06</v>
      </c>
      <c r="J41" s="312">
        <f t="shared" si="0"/>
        <v>0</v>
      </c>
      <c r="K41" s="282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s="5" customFormat="1">
      <c r="A42" s="57" t="s">
        <v>91</v>
      </c>
      <c r="B42" s="58" t="s">
        <v>61</v>
      </c>
      <c r="C42" s="178" t="s">
        <v>5</v>
      </c>
      <c r="D42" s="29" t="s">
        <v>12</v>
      </c>
      <c r="E42" s="29" t="s">
        <v>12</v>
      </c>
      <c r="F42" s="15" t="s">
        <v>12</v>
      </c>
      <c r="G42" s="29" t="s">
        <v>12</v>
      </c>
      <c r="H42" s="15" t="s">
        <v>12</v>
      </c>
      <c r="I42" s="225" t="s">
        <v>12</v>
      </c>
      <c r="J42" s="312"/>
      <c r="K42" s="282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s="5" customFormat="1">
      <c r="A43" s="57" t="s">
        <v>92</v>
      </c>
      <c r="B43" s="181" t="s">
        <v>86</v>
      </c>
      <c r="C43" s="178" t="s">
        <v>51</v>
      </c>
      <c r="D43" s="29">
        <v>12</v>
      </c>
      <c r="E43" s="29">
        <v>12</v>
      </c>
      <c r="F43" s="15">
        <v>12</v>
      </c>
      <c r="G43" s="29">
        <v>12</v>
      </c>
      <c r="H43" s="15">
        <v>12</v>
      </c>
      <c r="I43" s="225">
        <v>12</v>
      </c>
      <c r="J43" s="312">
        <f t="shared" si="0"/>
        <v>0</v>
      </c>
      <c r="K43" s="282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s="5" customFormat="1">
      <c r="A44" s="57" t="s">
        <v>93</v>
      </c>
      <c r="B44" s="179" t="s">
        <v>65</v>
      </c>
      <c r="C44" s="178" t="s">
        <v>2</v>
      </c>
      <c r="D44" s="17">
        <v>19986</v>
      </c>
      <c r="E44" s="15">
        <v>21060.000000000004</v>
      </c>
      <c r="F44" s="15">
        <f>F45</f>
        <v>20614.6266666667</v>
      </c>
      <c r="G44" s="15">
        <f>G45</f>
        <v>20614.6266666667</v>
      </c>
      <c r="H44" s="15">
        <v>21060.000000000004</v>
      </c>
      <c r="I44" s="225">
        <v>21060.000000000004</v>
      </c>
      <c r="J44" s="312">
        <f t="shared" si="0"/>
        <v>0</v>
      </c>
      <c r="K44" s="282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s="5" customFormat="1">
      <c r="A45" s="57" t="s">
        <v>94</v>
      </c>
      <c r="B45" s="180" t="s">
        <v>67</v>
      </c>
      <c r="C45" s="178" t="s">
        <v>2</v>
      </c>
      <c r="D45" s="18">
        <v>21060.000000000004</v>
      </c>
      <c r="E45" s="29">
        <f>'[1]ТЭ 17'!$E$45</f>
        <v>21060.000000000004</v>
      </c>
      <c r="F45" s="15">
        <v>20614.6266666667</v>
      </c>
      <c r="G45" s="29">
        <f>F45</f>
        <v>20614.6266666667</v>
      </c>
      <c r="H45" s="15">
        <v>21060.000000000004</v>
      </c>
      <c r="I45" s="225">
        <v>21060.000000000004</v>
      </c>
      <c r="J45" s="312">
        <f t="shared" si="0"/>
        <v>0</v>
      </c>
      <c r="K45" s="282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s="5" customFormat="1">
      <c r="A46" s="57" t="s">
        <v>95</v>
      </c>
      <c r="B46" s="180" t="s">
        <v>69</v>
      </c>
      <c r="C46" s="178" t="s">
        <v>2</v>
      </c>
      <c r="D46" s="18"/>
      <c r="E46" s="29"/>
      <c r="F46" s="15">
        <v>0</v>
      </c>
      <c r="G46" s="29"/>
      <c r="H46" s="15">
        <v>0</v>
      </c>
      <c r="I46" s="225">
        <v>0</v>
      </c>
      <c r="J46" s="312">
        <f t="shared" si="0"/>
        <v>0</v>
      </c>
      <c r="K46" s="282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s="5" customFormat="1">
      <c r="A47" s="57" t="s">
        <v>96</v>
      </c>
      <c r="B47" s="179" t="s">
        <v>71</v>
      </c>
      <c r="C47" s="178" t="s">
        <v>2</v>
      </c>
      <c r="D47" s="17">
        <v>51369</v>
      </c>
      <c r="E47" s="15">
        <v>53062.000000000007</v>
      </c>
      <c r="F47" s="15">
        <f>F48</f>
        <v>52660.273333333302</v>
      </c>
      <c r="G47" s="15">
        <f>G48</f>
        <v>52660.273333333302</v>
      </c>
      <c r="H47" s="15">
        <v>53062.000000000007</v>
      </c>
      <c r="I47" s="225">
        <v>53062.000000000007</v>
      </c>
      <c r="J47" s="312">
        <f t="shared" si="0"/>
        <v>0</v>
      </c>
      <c r="K47" s="282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s="5" customFormat="1">
      <c r="A48" s="57" t="s">
        <v>97</v>
      </c>
      <c r="B48" s="180" t="s">
        <v>67</v>
      </c>
      <c r="C48" s="178" t="s">
        <v>2</v>
      </c>
      <c r="D48" s="29">
        <v>53062.000000000007</v>
      </c>
      <c r="E48" s="29">
        <f>'[1]ТЭ 17'!$E$48</f>
        <v>53062.000000000007</v>
      </c>
      <c r="F48" s="15">
        <v>52660.273333333302</v>
      </c>
      <c r="G48" s="29">
        <f>F48</f>
        <v>52660.273333333302</v>
      </c>
      <c r="H48" s="15">
        <v>53062.000000000007</v>
      </c>
      <c r="I48" s="225">
        <v>53062.000000000007</v>
      </c>
      <c r="J48" s="312">
        <f t="shared" si="0"/>
        <v>0</v>
      </c>
      <c r="K48" s="282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s="5" customFormat="1">
      <c r="A49" s="57" t="s">
        <v>98</v>
      </c>
      <c r="B49" s="188" t="s">
        <v>69</v>
      </c>
      <c r="C49" s="178" t="s">
        <v>2</v>
      </c>
      <c r="D49" s="29"/>
      <c r="E49" s="29"/>
      <c r="F49" s="15">
        <v>0</v>
      </c>
      <c r="G49" s="29"/>
      <c r="H49" s="15">
        <v>0</v>
      </c>
      <c r="I49" s="225">
        <v>0</v>
      </c>
      <c r="J49" s="312">
        <f t="shared" si="0"/>
        <v>0</v>
      </c>
      <c r="K49" s="282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s="5" customFormat="1" ht="25.5">
      <c r="A50" s="189" t="s">
        <v>36</v>
      </c>
      <c r="B50" s="190" t="s">
        <v>99</v>
      </c>
      <c r="C50" s="178" t="s">
        <v>100</v>
      </c>
      <c r="D50" s="44">
        <v>217.9</v>
      </c>
      <c r="E50" s="44">
        <v>217.9</v>
      </c>
      <c r="F50" s="73">
        <v>217.9</v>
      </c>
      <c r="G50" s="44">
        <v>217.9</v>
      </c>
      <c r="H50" s="73">
        <v>217.9</v>
      </c>
      <c r="I50" s="335">
        <v>217.9</v>
      </c>
      <c r="J50" s="312">
        <f t="shared" si="0"/>
        <v>0</v>
      </c>
      <c r="K50" s="282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s="5" customFormat="1">
      <c r="A51" s="189" t="s">
        <v>38</v>
      </c>
      <c r="B51" s="191" t="s">
        <v>101</v>
      </c>
      <c r="C51" s="178" t="s">
        <v>100</v>
      </c>
      <c r="D51" s="44">
        <v>217.9</v>
      </c>
      <c r="E51" s="44">
        <v>217.9</v>
      </c>
      <c r="F51" s="73">
        <v>217.9</v>
      </c>
      <c r="G51" s="44">
        <v>217.9</v>
      </c>
      <c r="H51" s="73">
        <v>217.9</v>
      </c>
      <c r="I51" s="335">
        <v>217.9</v>
      </c>
      <c r="J51" s="312">
        <f t="shared" si="0"/>
        <v>0</v>
      </c>
      <c r="K51" s="282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s="5" customFormat="1" hidden="1">
      <c r="A52" s="189" t="s">
        <v>102</v>
      </c>
      <c r="B52" s="192" t="s">
        <v>103</v>
      </c>
      <c r="C52" s="178" t="s">
        <v>100</v>
      </c>
      <c r="D52" s="29"/>
      <c r="E52" s="29"/>
      <c r="F52" s="15">
        <v>0</v>
      </c>
      <c r="G52" s="29"/>
      <c r="H52" s="15">
        <v>0</v>
      </c>
      <c r="I52" s="225">
        <v>0</v>
      </c>
      <c r="J52" s="312">
        <f t="shared" si="0"/>
        <v>0</v>
      </c>
      <c r="K52" s="282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s="5" customFormat="1" hidden="1">
      <c r="A53" s="189" t="s">
        <v>104</v>
      </c>
      <c r="B53" s="192" t="s">
        <v>105</v>
      </c>
      <c r="C53" s="178" t="s">
        <v>100</v>
      </c>
      <c r="D53" s="29"/>
      <c r="E53" s="29"/>
      <c r="F53" s="15">
        <v>0</v>
      </c>
      <c r="G53" s="29"/>
      <c r="H53" s="15">
        <v>0</v>
      </c>
      <c r="I53" s="225">
        <v>0</v>
      </c>
      <c r="J53" s="312">
        <f t="shared" si="0"/>
        <v>0</v>
      </c>
      <c r="K53" s="282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s="5" customFormat="1" hidden="1">
      <c r="A54" s="189" t="s">
        <v>106</v>
      </c>
      <c r="B54" s="192" t="s">
        <v>107</v>
      </c>
      <c r="C54" s="178" t="s">
        <v>100</v>
      </c>
      <c r="D54" s="29"/>
      <c r="E54" s="29"/>
      <c r="F54" s="15">
        <v>0</v>
      </c>
      <c r="G54" s="29"/>
      <c r="H54" s="15">
        <v>0</v>
      </c>
      <c r="I54" s="225">
        <v>0</v>
      </c>
      <c r="J54" s="312">
        <f t="shared" si="0"/>
        <v>0</v>
      </c>
      <c r="K54" s="282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s="5" customFormat="1" hidden="1">
      <c r="A55" s="189" t="s">
        <v>108</v>
      </c>
      <c r="B55" s="192" t="s">
        <v>109</v>
      </c>
      <c r="C55" s="178" t="s">
        <v>100</v>
      </c>
      <c r="D55" s="29">
        <v>0</v>
      </c>
      <c r="E55" s="29">
        <v>0</v>
      </c>
      <c r="F55" s="15">
        <v>0</v>
      </c>
      <c r="G55" s="29">
        <v>0</v>
      </c>
      <c r="H55" s="15">
        <v>0</v>
      </c>
      <c r="I55" s="225">
        <v>0</v>
      </c>
      <c r="J55" s="312">
        <f t="shared" si="0"/>
        <v>0</v>
      </c>
      <c r="K55" s="282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s="5" customFormat="1" hidden="1">
      <c r="A56" s="189" t="s">
        <v>110</v>
      </c>
      <c r="B56" s="192" t="s">
        <v>111</v>
      </c>
      <c r="C56" s="178" t="s">
        <v>100</v>
      </c>
      <c r="D56" s="29"/>
      <c r="E56" s="29"/>
      <c r="F56" s="15">
        <v>0</v>
      </c>
      <c r="G56" s="29"/>
      <c r="H56" s="15">
        <v>0</v>
      </c>
      <c r="I56" s="225">
        <v>0</v>
      </c>
      <c r="J56" s="312">
        <f t="shared" si="0"/>
        <v>0</v>
      </c>
      <c r="K56" s="282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s="5" customFormat="1" hidden="1">
      <c r="A57" s="189" t="s">
        <v>112</v>
      </c>
      <c r="B57" s="192" t="s">
        <v>113</v>
      </c>
      <c r="C57" s="178" t="s">
        <v>100</v>
      </c>
      <c r="D57" s="29"/>
      <c r="E57" s="29"/>
      <c r="F57" s="15"/>
      <c r="G57" s="29"/>
      <c r="H57" s="15"/>
      <c r="I57" s="225"/>
      <c r="J57" s="312">
        <f t="shared" si="0"/>
        <v>0</v>
      </c>
      <c r="K57" s="282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s="5" customFormat="1" hidden="1">
      <c r="A58" s="189" t="s">
        <v>78</v>
      </c>
      <c r="B58" s="192" t="s">
        <v>114</v>
      </c>
      <c r="C58" s="178" t="s">
        <v>100</v>
      </c>
      <c r="D58" s="29"/>
      <c r="E58" s="29"/>
      <c r="F58" s="15">
        <v>0</v>
      </c>
      <c r="G58" s="29"/>
      <c r="H58" s="15">
        <v>0</v>
      </c>
      <c r="I58" s="225">
        <v>0</v>
      </c>
      <c r="J58" s="312">
        <f t="shared" si="0"/>
        <v>0</v>
      </c>
      <c r="K58" s="282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s="5" customFormat="1" hidden="1">
      <c r="A59" s="189" t="s">
        <v>115</v>
      </c>
      <c r="B59" s="192" t="s">
        <v>116</v>
      </c>
      <c r="C59" s="178"/>
      <c r="D59" s="29"/>
      <c r="E59" s="29"/>
      <c r="F59" s="15">
        <v>0</v>
      </c>
      <c r="G59" s="29"/>
      <c r="H59" s="15">
        <v>0</v>
      </c>
      <c r="I59" s="225">
        <v>0</v>
      </c>
      <c r="J59" s="312">
        <f t="shared" si="0"/>
        <v>0</v>
      </c>
      <c r="K59" s="282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s="5" customFormat="1" ht="25.5">
      <c r="A60" s="189" t="s">
        <v>117</v>
      </c>
      <c r="B60" s="190" t="s">
        <v>118</v>
      </c>
      <c r="C60" s="178" t="s">
        <v>119</v>
      </c>
      <c r="D60" s="15">
        <f>D61</f>
        <v>49065.506685714281</v>
      </c>
      <c r="E60" s="15">
        <v>61238.295476072803</v>
      </c>
      <c r="F60" s="15">
        <f>F61</f>
        <v>59356.316811249999</v>
      </c>
      <c r="G60" s="15">
        <f>G61</f>
        <v>59356.316811249999</v>
      </c>
      <c r="H60" s="15">
        <v>61238.295476072803</v>
      </c>
      <c r="I60" s="225">
        <v>61238.295476072803</v>
      </c>
      <c r="J60" s="312">
        <f t="shared" si="0"/>
        <v>0</v>
      </c>
      <c r="K60" s="282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s="5" customFormat="1" ht="51">
      <c r="A61" s="189" t="s">
        <v>78</v>
      </c>
      <c r="B61" s="191" t="s">
        <v>101</v>
      </c>
      <c r="C61" s="178" t="s">
        <v>119</v>
      </c>
      <c r="D61" s="29">
        <f>D80*D71</f>
        <v>49065.506685714281</v>
      </c>
      <c r="E61" s="29">
        <v>61238.295476072803</v>
      </c>
      <c r="F61" s="44">
        <f>F9*F51/1000</f>
        <v>59356.316811249999</v>
      </c>
      <c r="G61" s="44">
        <f>G9*G51/1000</f>
        <v>59356.316811249999</v>
      </c>
      <c r="H61" s="15">
        <v>61238.295476072803</v>
      </c>
      <c r="I61" s="225">
        <v>61238.295476072803</v>
      </c>
      <c r="J61" s="312">
        <f t="shared" si="0"/>
        <v>0</v>
      </c>
      <c r="K61" s="283" t="s">
        <v>576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s="5" customFormat="1" hidden="1">
      <c r="A62" s="189" t="s">
        <v>120</v>
      </c>
      <c r="B62" s="192" t="s">
        <v>103</v>
      </c>
      <c r="C62" s="178" t="s">
        <v>119</v>
      </c>
      <c r="D62" s="29"/>
      <c r="E62" s="29"/>
      <c r="F62" s="15">
        <v>0</v>
      </c>
      <c r="G62" s="29"/>
      <c r="H62" s="15">
        <v>0</v>
      </c>
      <c r="I62" s="225">
        <v>0</v>
      </c>
      <c r="J62" s="312">
        <f t="shared" si="0"/>
        <v>0</v>
      </c>
      <c r="K62" s="282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s="5" customFormat="1" hidden="1">
      <c r="A63" s="189" t="s">
        <v>121</v>
      </c>
      <c r="B63" s="192" t="s">
        <v>105</v>
      </c>
      <c r="C63" s="178" t="s">
        <v>119</v>
      </c>
      <c r="D63" s="29"/>
      <c r="E63" s="29"/>
      <c r="F63" s="15">
        <v>0</v>
      </c>
      <c r="G63" s="29"/>
      <c r="H63" s="15">
        <v>0</v>
      </c>
      <c r="I63" s="225">
        <v>0</v>
      </c>
      <c r="J63" s="312">
        <f t="shared" si="0"/>
        <v>0</v>
      </c>
      <c r="K63" s="282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s="5" customFormat="1" hidden="1">
      <c r="A64" s="189" t="s">
        <v>122</v>
      </c>
      <c r="B64" s="192" t="s">
        <v>107</v>
      </c>
      <c r="C64" s="178" t="s">
        <v>119</v>
      </c>
      <c r="D64" s="29"/>
      <c r="E64" s="29"/>
      <c r="F64" s="15">
        <v>0</v>
      </c>
      <c r="G64" s="29"/>
      <c r="H64" s="15">
        <v>0</v>
      </c>
      <c r="I64" s="225">
        <v>0</v>
      </c>
      <c r="J64" s="312">
        <f t="shared" si="0"/>
        <v>0</v>
      </c>
      <c r="K64" s="282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s="5" customFormat="1" hidden="1">
      <c r="A65" s="189" t="s">
        <v>123</v>
      </c>
      <c r="B65" s="192" t="s">
        <v>109</v>
      </c>
      <c r="C65" s="178" t="s">
        <v>119</v>
      </c>
      <c r="D65" s="29">
        <v>0</v>
      </c>
      <c r="E65" s="29">
        <v>0</v>
      </c>
      <c r="F65" s="15">
        <v>0</v>
      </c>
      <c r="G65" s="29">
        <v>0</v>
      </c>
      <c r="H65" s="15">
        <v>0</v>
      </c>
      <c r="I65" s="225">
        <v>0</v>
      </c>
      <c r="J65" s="312">
        <f t="shared" si="0"/>
        <v>0</v>
      </c>
      <c r="K65" s="282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s="5" customFormat="1" hidden="1">
      <c r="A66" s="189" t="s">
        <v>124</v>
      </c>
      <c r="B66" s="192" t="s">
        <v>111</v>
      </c>
      <c r="C66" s="178" t="s">
        <v>119</v>
      </c>
      <c r="D66" s="29"/>
      <c r="E66" s="29"/>
      <c r="F66" s="15">
        <v>0</v>
      </c>
      <c r="G66" s="29"/>
      <c r="H66" s="15">
        <v>0</v>
      </c>
      <c r="I66" s="225">
        <v>0</v>
      </c>
      <c r="J66" s="312">
        <f t="shared" si="0"/>
        <v>0</v>
      </c>
      <c r="K66" s="282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s="5" customFormat="1" hidden="1">
      <c r="A67" s="189" t="s">
        <v>125</v>
      </c>
      <c r="B67" s="192" t="s">
        <v>113</v>
      </c>
      <c r="C67" s="178" t="s">
        <v>119</v>
      </c>
      <c r="D67" s="29"/>
      <c r="E67" s="29"/>
      <c r="F67" s="15"/>
      <c r="G67" s="29"/>
      <c r="H67" s="15"/>
      <c r="I67" s="225"/>
      <c r="J67" s="312">
        <f t="shared" si="0"/>
        <v>0</v>
      </c>
      <c r="K67" s="282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s="5" customFormat="1" hidden="1">
      <c r="A68" s="189" t="s">
        <v>126</v>
      </c>
      <c r="B68" s="192" t="s">
        <v>114</v>
      </c>
      <c r="C68" s="178" t="s">
        <v>119</v>
      </c>
      <c r="D68" s="29"/>
      <c r="E68" s="29"/>
      <c r="F68" s="15">
        <v>0</v>
      </c>
      <c r="G68" s="29"/>
      <c r="H68" s="15">
        <v>0</v>
      </c>
      <c r="I68" s="225">
        <v>0</v>
      </c>
      <c r="J68" s="312">
        <f t="shared" si="0"/>
        <v>0</v>
      </c>
      <c r="K68" s="282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s="5" customFormat="1" hidden="1">
      <c r="A69" s="189" t="s">
        <v>127</v>
      </c>
      <c r="B69" s="192" t="s">
        <v>116</v>
      </c>
      <c r="C69" s="178" t="s">
        <v>119</v>
      </c>
      <c r="D69" s="29"/>
      <c r="E69" s="29"/>
      <c r="F69" s="15">
        <v>0</v>
      </c>
      <c r="G69" s="29"/>
      <c r="H69" s="15">
        <v>0</v>
      </c>
      <c r="I69" s="225">
        <v>0</v>
      </c>
      <c r="J69" s="312">
        <f t="shared" si="0"/>
        <v>0</v>
      </c>
      <c r="K69" s="282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s="5" customFormat="1">
      <c r="A70" s="189" t="s">
        <v>128</v>
      </c>
      <c r="B70" s="190" t="s">
        <v>129</v>
      </c>
      <c r="C70" s="178" t="s">
        <v>12</v>
      </c>
      <c r="D70" s="187">
        <v>0.56285714285714283</v>
      </c>
      <c r="E70" s="187">
        <v>0.56285714285714283</v>
      </c>
      <c r="F70" s="74">
        <f>F71</f>
        <v>0.57022592424523899</v>
      </c>
      <c r="G70" s="187">
        <f>G71</f>
        <v>0.57022592424523899</v>
      </c>
      <c r="H70" s="74">
        <v>0.56285714285714283</v>
      </c>
      <c r="I70" s="336">
        <v>0.56285714285714283</v>
      </c>
      <c r="J70" s="312">
        <f t="shared" si="0"/>
        <v>0</v>
      </c>
      <c r="K70" s="282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s="5" customFormat="1">
      <c r="A71" s="189" t="s">
        <v>126</v>
      </c>
      <c r="B71" s="191" t="s">
        <v>101</v>
      </c>
      <c r="C71" s="178" t="s">
        <v>12</v>
      </c>
      <c r="D71" s="187">
        <v>0.56285714285714283</v>
      </c>
      <c r="E71" s="187">
        <v>0.56285714285714283</v>
      </c>
      <c r="F71" s="74">
        <v>0.57022592424523899</v>
      </c>
      <c r="G71" s="74">
        <v>0.57022592424523899</v>
      </c>
      <c r="H71" s="74">
        <v>0.56285714285714283</v>
      </c>
      <c r="I71" s="336">
        <v>0.56285714285714283</v>
      </c>
      <c r="J71" s="312">
        <f t="shared" si="0"/>
        <v>0</v>
      </c>
      <c r="K71" s="282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s="5" customFormat="1" hidden="1">
      <c r="A72" s="189" t="s">
        <v>130</v>
      </c>
      <c r="B72" s="192" t="s">
        <v>103</v>
      </c>
      <c r="C72" s="178"/>
      <c r="D72" s="187"/>
      <c r="E72" s="187"/>
      <c r="F72" s="15">
        <v>0</v>
      </c>
      <c r="G72" s="187"/>
      <c r="H72" s="15">
        <v>0</v>
      </c>
      <c r="I72" s="225">
        <v>0</v>
      </c>
      <c r="J72" s="312">
        <f t="shared" si="0"/>
        <v>0</v>
      </c>
      <c r="K72" s="282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s="5" customFormat="1" hidden="1">
      <c r="A73" s="189" t="s">
        <v>131</v>
      </c>
      <c r="B73" s="192" t="s">
        <v>105</v>
      </c>
      <c r="C73" s="178"/>
      <c r="D73" s="187"/>
      <c r="E73" s="187"/>
      <c r="F73" s="15">
        <v>0</v>
      </c>
      <c r="G73" s="187"/>
      <c r="H73" s="15">
        <v>0</v>
      </c>
      <c r="I73" s="225">
        <v>0</v>
      </c>
      <c r="J73" s="312">
        <f t="shared" si="0"/>
        <v>0</v>
      </c>
      <c r="K73" s="282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s="5" customFormat="1" hidden="1">
      <c r="A74" s="189" t="s">
        <v>132</v>
      </c>
      <c r="B74" s="192" t="s">
        <v>107</v>
      </c>
      <c r="C74" s="178"/>
      <c r="D74" s="187"/>
      <c r="E74" s="187"/>
      <c r="F74" s="15">
        <v>0</v>
      </c>
      <c r="G74" s="187"/>
      <c r="H74" s="15">
        <v>0</v>
      </c>
      <c r="I74" s="225">
        <v>0</v>
      </c>
      <c r="J74" s="312">
        <f t="shared" ref="J74:J89" si="1">G74-F74</f>
        <v>0</v>
      </c>
      <c r="K74" s="282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s="5" customFormat="1" hidden="1">
      <c r="A75" s="189" t="s">
        <v>133</v>
      </c>
      <c r="B75" s="192" t="s">
        <v>109</v>
      </c>
      <c r="C75" s="178"/>
      <c r="D75" s="187">
        <v>0</v>
      </c>
      <c r="E75" s="187">
        <v>0</v>
      </c>
      <c r="F75" s="15">
        <v>0</v>
      </c>
      <c r="G75" s="187">
        <v>0</v>
      </c>
      <c r="H75" s="15">
        <v>0</v>
      </c>
      <c r="I75" s="225">
        <v>0</v>
      </c>
      <c r="J75" s="312">
        <f t="shared" si="1"/>
        <v>0</v>
      </c>
      <c r="K75" s="282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s="5" customFormat="1" hidden="1">
      <c r="A76" s="189" t="s">
        <v>134</v>
      </c>
      <c r="B76" s="192" t="s">
        <v>111</v>
      </c>
      <c r="C76" s="178"/>
      <c r="D76" s="29"/>
      <c r="E76" s="29"/>
      <c r="F76" s="15">
        <v>0</v>
      </c>
      <c r="G76" s="29"/>
      <c r="H76" s="15">
        <v>0</v>
      </c>
      <c r="I76" s="225">
        <v>0</v>
      </c>
      <c r="J76" s="312">
        <f t="shared" si="1"/>
        <v>0</v>
      </c>
      <c r="K76" s="282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s="5" customFormat="1" hidden="1">
      <c r="A77" s="189" t="s">
        <v>135</v>
      </c>
      <c r="B77" s="192" t="s">
        <v>113</v>
      </c>
      <c r="C77" s="178"/>
      <c r="D77" s="29"/>
      <c r="E77" s="29"/>
      <c r="F77" s="15"/>
      <c r="G77" s="29"/>
      <c r="H77" s="15"/>
      <c r="I77" s="225"/>
      <c r="J77" s="312">
        <f t="shared" si="1"/>
        <v>0</v>
      </c>
      <c r="K77" s="282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s="5" customFormat="1" hidden="1">
      <c r="A78" s="189" t="s">
        <v>136</v>
      </c>
      <c r="B78" s="192" t="s">
        <v>114</v>
      </c>
      <c r="C78" s="178"/>
      <c r="D78" s="187"/>
      <c r="E78" s="187"/>
      <c r="F78" s="74">
        <v>0</v>
      </c>
      <c r="G78" s="187"/>
      <c r="H78" s="74">
        <v>0</v>
      </c>
      <c r="I78" s="336">
        <v>0</v>
      </c>
      <c r="J78" s="312">
        <f t="shared" si="1"/>
        <v>0</v>
      </c>
      <c r="K78" s="282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s="5" customFormat="1" hidden="1">
      <c r="A79" s="189" t="s">
        <v>137</v>
      </c>
      <c r="B79" s="192" t="s">
        <v>116</v>
      </c>
      <c r="C79" s="178"/>
      <c r="D79" s="29"/>
      <c r="E79" s="29"/>
      <c r="F79" s="15">
        <v>0</v>
      </c>
      <c r="G79" s="29"/>
      <c r="H79" s="15">
        <v>0</v>
      </c>
      <c r="I79" s="225">
        <v>0</v>
      </c>
      <c r="J79" s="312">
        <f t="shared" si="1"/>
        <v>0</v>
      </c>
      <c r="K79" s="282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s="5" customFormat="1">
      <c r="A80" s="189" t="s">
        <v>138</v>
      </c>
      <c r="B80" s="190" t="s">
        <v>139</v>
      </c>
      <c r="C80" s="178" t="s">
        <v>140</v>
      </c>
      <c r="D80" s="29">
        <f>D81</f>
        <v>87172.22</v>
      </c>
      <c r="E80" s="29">
        <v>108799.00211485015</v>
      </c>
      <c r="F80" s="15">
        <f>F81</f>
        <v>104092.63116161381</v>
      </c>
      <c r="G80" s="29">
        <f>G81</f>
        <v>104092.63116161381</v>
      </c>
      <c r="H80" s="15">
        <v>108799.00211485015</v>
      </c>
      <c r="I80" s="225">
        <v>108799.00211485015</v>
      </c>
      <c r="J80" s="312">
        <f t="shared" si="1"/>
        <v>0</v>
      </c>
      <c r="K80" s="28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s="5" customFormat="1" ht="38.25">
      <c r="A81" s="189" t="s">
        <v>136</v>
      </c>
      <c r="B81" s="191" t="s">
        <v>101</v>
      </c>
      <c r="C81" s="178" t="s">
        <v>140</v>
      </c>
      <c r="D81" s="29">
        <v>87172.22</v>
      </c>
      <c r="E81" s="29">
        <v>108799.00211485015</v>
      </c>
      <c r="F81" s="29">
        <f>F61/F71</f>
        <v>104092.63116161381</v>
      </c>
      <c r="G81" s="29">
        <f>G61/G71</f>
        <v>104092.63116161381</v>
      </c>
      <c r="H81" s="15">
        <v>108799.00211485015</v>
      </c>
      <c r="I81" s="225">
        <v>108799.00211485015</v>
      </c>
      <c r="J81" s="312">
        <f t="shared" si="1"/>
        <v>0</v>
      </c>
      <c r="K81" s="283" t="s">
        <v>575</v>
      </c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s="5" customFormat="1" hidden="1">
      <c r="A82" s="189" t="s">
        <v>141</v>
      </c>
      <c r="B82" s="192" t="s">
        <v>103</v>
      </c>
      <c r="C82" s="178" t="s">
        <v>140</v>
      </c>
      <c r="D82" s="29" t="s">
        <v>12</v>
      </c>
      <c r="E82" s="29"/>
      <c r="F82" s="29"/>
      <c r="G82" s="193" t="e">
        <v>#DIV/0!</v>
      </c>
      <c r="H82" s="15">
        <v>0</v>
      </c>
      <c r="I82" s="225">
        <v>0</v>
      </c>
      <c r="J82" s="312" t="e">
        <f t="shared" si="1"/>
        <v>#DIV/0!</v>
      </c>
      <c r="K82" s="282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s="5" customFormat="1" hidden="1">
      <c r="A83" s="189" t="s">
        <v>142</v>
      </c>
      <c r="B83" s="192" t="s">
        <v>105</v>
      </c>
      <c r="C83" s="178" t="s">
        <v>140</v>
      </c>
      <c r="D83" s="29" t="s">
        <v>12</v>
      </c>
      <c r="E83" s="29"/>
      <c r="F83" s="29"/>
      <c r="G83" s="193" t="e">
        <v>#DIV/0!</v>
      </c>
      <c r="H83" s="15">
        <v>0</v>
      </c>
      <c r="I83" s="225">
        <v>0</v>
      </c>
      <c r="J83" s="312" t="e">
        <f t="shared" si="1"/>
        <v>#DIV/0!</v>
      </c>
      <c r="K83" s="282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s="5" customFormat="1" hidden="1">
      <c r="A84" s="189" t="s">
        <v>143</v>
      </c>
      <c r="B84" s="192" t="s">
        <v>107</v>
      </c>
      <c r="C84" s="178" t="s">
        <v>140</v>
      </c>
      <c r="D84" s="29" t="s">
        <v>12</v>
      </c>
      <c r="E84" s="29"/>
      <c r="F84" s="29"/>
      <c r="G84" s="193" t="e">
        <v>#DIV/0!</v>
      </c>
      <c r="H84" s="15">
        <v>0</v>
      </c>
      <c r="I84" s="225">
        <v>0</v>
      </c>
      <c r="J84" s="312" t="e">
        <f t="shared" si="1"/>
        <v>#DIV/0!</v>
      </c>
      <c r="K84" s="282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s="5" customFormat="1" ht="15.75" hidden="1">
      <c r="A85" s="189" t="s">
        <v>144</v>
      </c>
      <c r="B85" s="192" t="s">
        <v>109</v>
      </c>
      <c r="C85" s="178" t="s">
        <v>145</v>
      </c>
      <c r="D85" s="29" t="s">
        <v>12</v>
      </c>
      <c r="E85" s="29"/>
      <c r="F85" s="29"/>
      <c r="G85" s="193"/>
      <c r="H85" s="15">
        <v>0</v>
      </c>
      <c r="I85" s="225">
        <v>0</v>
      </c>
      <c r="J85" s="312">
        <f t="shared" si="1"/>
        <v>0</v>
      </c>
      <c r="K85" s="282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s="5" customFormat="1" hidden="1">
      <c r="A86" s="189" t="s">
        <v>146</v>
      </c>
      <c r="B86" s="192" t="s">
        <v>111</v>
      </c>
      <c r="C86" s="178" t="s">
        <v>140</v>
      </c>
      <c r="D86" s="29"/>
      <c r="E86" s="29"/>
      <c r="F86" s="29"/>
      <c r="G86" s="193" t="e">
        <v>#DIV/0!</v>
      </c>
      <c r="H86" s="15">
        <v>0</v>
      </c>
      <c r="I86" s="225">
        <v>0</v>
      </c>
      <c r="J86" s="312" t="e">
        <f t="shared" si="1"/>
        <v>#DIV/0!</v>
      </c>
      <c r="K86" s="282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s="5" customFormat="1" ht="15.75" hidden="1">
      <c r="A87" s="189" t="s">
        <v>147</v>
      </c>
      <c r="B87" s="192" t="s">
        <v>113</v>
      </c>
      <c r="C87" s="178" t="s">
        <v>148</v>
      </c>
      <c r="D87" s="29"/>
      <c r="E87" s="29"/>
      <c r="F87" s="29"/>
      <c r="G87" s="193"/>
      <c r="H87" s="15"/>
      <c r="I87" s="225"/>
      <c r="J87" s="312">
        <f t="shared" si="1"/>
        <v>0</v>
      </c>
      <c r="K87" s="282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s="5" customFormat="1" hidden="1">
      <c r="A88" s="189" t="s">
        <v>149</v>
      </c>
      <c r="B88" s="192" t="s">
        <v>114</v>
      </c>
      <c r="C88" s="178" t="s">
        <v>140</v>
      </c>
      <c r="D88" s="29"/>
      <c r="E88" s="29"/>
      <c r="F88" s="29"/>
      <c r="G88" s="193" t="s">
        <v>12</v>
      </c>
      <c r="H88" s="15"/>
      <c r="I88" s="225"/>
      <c r="J88" s="312" t="e">
        <f t="shared" si="1"/>
        <v>#VALUE!</v>
      </c>
      <c r="K88" s="282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s="5" customFormat="1" hidden="1">
      <c r="A89" s="189" t="s">
        <v>150</v>
      </c>
      <c r="B89" s="194" t="s">
        <v>116</v>
      </c>
      <c r="C89" s="195" t="s">
        <v>140</v>
      </c>
      <c r="D89" s="29"/>
      <c r="E89" s="29"/>
      <c r="F89" s="29"/>
      <c r="G89" s="196"/>
      <c r="H89" s="29"/>
      <c r="I89" s="337"/>
      <c r="J89" s="312">
        <f t="shared" si="1"/>
        <v>0</v>
      </c>
      <c r="K89" s="282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s="20" customFormat="1" ht="13.5" customHeight="1">
      <c r="A90" s="197" t="s">
        <v>151</v>
      </c>
      <c r="B90" s="357" t="s">
        <v>152</v>
      </c>
      <c r="C90" s="358"/>
      <c r="D90" s="358"/>
      <c r="E90" s="358"/>
      <c r="F90" s="358"/>
      <c r="G90" s="358"/>
      <c r="H90" s="358"/>
      <c r="I90" s="359"/>
      <c r="J90" s="313"/>
      <c r="K90" s="285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</row>
    <row r="91" spans="1:30" s="20" customFormat="1" ht="13.5">
      <c r="A91" s="197" t="s">
        <v>31</v>
      </c>
      <c r="B91" s="198" t="s">
        <v>153</v>
      </c>
      <c r="C91" s="199"/>
      <c r="D91" s="199"/>
      <c r="E91" s="21"/>
      <c r="F91" s="21"/>
      <c r="G91" s="21"/>
      <c r="H91" s="21"/>
      <c r="I91" s="338"/>
      <c r="J91" s="314"/>
      <c r="K91" s="285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</row>
    <row r="92" spans="1:30" s="5" customFormat="1" ht="25.5">
      <c r="A92" s="57" t="s">
        <v>154</v>
      </c>
      <c r="B92" s="200" t="s">
        <v>155</v>
      </c>
      <c r="C92" s="201" t="s">
        <v>3</v>
      </c>
      <c r="D92" s="24"/>
      <c r="E92" s="24">
        <v>107.4</v>
      </c>
      <c r="F92" s="23"/>
      <c r="G92" s="24">
        <v>104</v>
      </c>
      <c r="H92" s="23">
        <v>105.80000000000001</v>
      </c>
      <c r="I92" s="230">
        <v>105.5</v>
      </c>
      <c r="J92" s="315"/>
      <c r="K92" s="282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s="5" customFormat="1" ht="25.5">
      <c r="A93" s="57" t="s">
        <v>156</v>
      </c>
      <c r="B93" s="200" t="s">
        <v>157</v>
      </c>
      <c r="C93" s="201" t="s">
        <v>3</v>
      </c>
      <c r="D93" s="24">
        <v>1</v>
      </c>
      <c r="E93" s="24">
        <v>1</v>
      </c>
      <c r="F93" s="24">
        <v>1</v>
      </c>
      <c r="G93" s="24">
        <v>1</v>
      </c>
      <c r="H93" s="24">
        <v>1</v>
      </c>
      <c r="I93" s="233">
        <v>1</v>
      </c>
      <c r="J93" s="316"/>
      <c r="K93" s="282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s="5" customFormat="1">
      <c r="A94" s="57" t="s">
        <v>158</v>
      </c>
      <c r="B94" s="200" t="s">
        <v>159</v>
      </c>
      <c r="C94" s="201"/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33">
        <v>0</v>
      </c>
      <c r="J94" s="316"/>
      <c r="K94" s="282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s="5" customFormat="1" ht="38.25">
      <c r="A95" s="57" t="s">
        <v>160</v>
      </c>
      <c r="B95" s="192" t="s">
        <v>161</v>
      </c>
      <c r="C95" s="201" t="s">
        <v>162</v>
      </c>
      <c r="D95" s="23" t="s">
        <v>12</v>
      </c>
      <c r="E95" s="23" t="s">
        <v>12</v>
      </c>
      <c r="F95" s="23" t="s">
        <v>12</v>
      </c>
      <c r="G95" s="23" t="s">
        <v>12</v>
      </c>
      <c r="H95" s="23" t="s">
        <v>12</v>
      </c>
      <c r="I95" s="230" t="s">
        <v>12</v>
      </c>
      <c r="J95" s="315"/>
      <c r="K95" s="282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s="5" customFormat="1" ht="25.5">
      <c r="A96" s="57" t="s">
        <v>163</v>
      </c>
      <c r="B96" s="192" t="s">
        <v>164</v>
      </c>
      <c r="C96" s="201" t="s">
        <v>165</v>
      </c>
      <c r="D96" s="23">
        <v>148</v>
      </c>
      <c r="E96" s="23">
        <v>148</v>
      </c>
      <c r="F96" s="23" t="s">
        <v>12</v>
      </c>
      <c r="G96" s="23">
        <v>148</v>
      </c>
      <c r="H96" s="23" t="s">
        <v>12</v>
      </c>
      <c r="I96" s="230" t="s">
        <v>12</v>
      </c>
      <c r="J96" s="315"/>
      <c r="K96" s="282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s="5" customFormat="1" ht="27">
      <c r="A97" s="57" t="s">
        <v>166</v>
      </c>
      <c r="B97" s="200" t="s">
        <v>167</v>
      </c>
      <c r="C97" s="201" t="s">
        <v>12</v>
      </c>
      <c r="D97" s="23">
        <v>0.75</v>
      </c>
      <c r="E97" s="23">
        <v>0.75</v>
      </c>
      <c r="F97" s="23">
        <v>0.75</v>
      </c>
      <c r="G97" s="23">
        <v>0.75</v>
      </c>
      <c r="H97" s="23">
        <v>0.75</v>
      </c>
      <c r="I97" s="230">
        <v>0.75</v>
      </c>
      <c r="J97" s="315"/>
      <c r="K97" s="282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s="28" customFormat="1" ht="13.5">
      <c r="A98" s="197" t="s">
        <v>33</v>
      </c>
      <c r="B98" s="202" t="s">
        <v>168</v>
      </c>
      <c r="C98" s="203" t="s">
        <v>4</v>
      </c>
      <c r="D98" s="25">
        <f>D99+D104+D107+D110+D126+D136+D140</f>
        <v>80696.30017599999</v>
      </c>
      <c r="E98" s="25">
        <f>E99+E104+E107+E110+E126+E136+E140</f>
        <v>72488.692299950635</v>
      </c>
      <c r="F98" s="25">
        <f>F99+F104+F107+F110+F126+F136+F140+F137</f>
        <v>72853.655557237638</v>
      </c>
      <c r="G98" s="25">
        <f>G99+G104+G107+G110+G126+G136+G140+G137</f>
        <v>87985.03167726114</v>
      </c>
      <c r="H98" s="25">
        <v>72729.561064074645</v>
      </c>
      <c r="I98" s="339">
        <v>75962.390053372757</v>
      </c>
      <c r="J98" s="317">
        <f>G98-F98</f>
        <v>15131.376120023502</v>
      </c>
      <c r="K98" s="286"/>
      <c r="L98" s="26"/>
      <c r="M98" s="27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</row>
    <row r="99" spans="1:30" s="13" customFormat="1">
      <c r="A99" s="204" t="s">
        <v>169</v>
      </c>
      <c r="B99" s="38" t="s">
        <v>170</v>
      </c>
      <c r="C99" s="39" t="s">
        <v>4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340">
        <v>0</v>
      </c>
      <c r="J99" s="318"/>
      <c r="K99" s="287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5" customFormat="1">
      <c r="A100" s="57" t="s">
        <v>171</v>
      </c>
      <c r="B100" s="205" t="s">
        <v>172</v>
      </c>
      <c r="C100" s="59" t="s">
        <v>4</v>
      </c>
      <c r="D100" s="15">
        <v>0</v>
      </c>
      <c r="E100" s="15">
        <v>0</v>
      </c>
      <c r="F100" s="15">
        <v>0</v>
      </c>
      <c r="G100" s="15">
        <v>0</v>
      </c>
      <c r="H100" s="15">
        <v>0</v>
      </c>
      <c r="I100" s="225">
        <v>0</v>
      </c>
      <c r="J100" s="312"/>
      <c r="K100" s="282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s="5" customFormat="1">
      <c r="A101" s="57" t="s">
        <v>173</v>
      </c>
      <c r="B101" s="206" t="s">
        <v>174</v>
      </c>
      <c r="C101" s="59" t="s">
        <v>4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225">
        <v>0</v>
      </c>
      <c r="J101" s="312"/>
      <c r="K101" s="282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s="5" customFormat="1">
      <c r="A102" s="57" t="s">
        <v>175</v>
      </c>
      <c r="B102" s="206" t="s">
        <v>176</v>
      </c>
      <c r="C102" s="59" t="s">
        <v>4</v>
      </c>
      <c r="D102" s="33">
        <v>0</v>
      </c>
      <c r="E102" s="33">
        <v>0</v>
      </c>
      <c r="F102" s="15">
        <v>0</v>
      </c>
      <c r="G102" s="33">
        <v>0</v>
      </c>
      <c r="H102" s="15">
        <v>0</v>
      </c>
      <c r="I102" s="225">
        <v>0</v>
      </c>
      <c r="J102" s="312"/>
      <c r="K102" s="282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s="5" customFormat="1" ht="27.75" customHeight="1">
      <c r="A103" s="57" t="s">
        <v>177</v>
      </c>
      <c r="B103" s="205" t="s">
        <v>178</v>
      </c>
      <c r="C103" s="59" t="s">
        <v>4</v>
      </c>
      <c r="D103" s="33"/>
      <c r="E103" s="33"/>
      <c r="F103" s="15">
        <v>0</v>
      </c>
      <c r="G103" s="33">
        <v>0</v>
      </c>
      <c r="H103" s="15">
        <v>0</v>
      </c>
      <c r="I103" s="225">
        <v>0</v>
      </c>
      <c r="J103" s="312"/>
      <c r="K103" s="282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s="13" customFormat="1">
      <c r="A104" s="204" t="s">
        <v>179</v>
      </c>
      <c r="B104" s="38" t="s">
        <v>180</v>
      </c>
      <c r="C104" s="39" t="s">
        <v>4</v>
      </c>
      <c r="D104" s="17">
        <f>D105</f>
        <v>0</v>
      </c>
      <c r="E104" s="17">
        <f>E105</f>
        <v>0</v>
      </c>
      <c r="F104" s="17">
        <f>F105+F106</f>
        <v>521.97</v>
      </c>
      <c r="G104" s="17">
        <f>G105+G106</f>
        <v>542.8488000000001</v>
      </c>
      <c r="H104" s="17">
        <v>0</v>
      </c>
      <c r="I104" s="340">
        <v>0</v>
      </c>
      <c r="J104" s="318">
        <f>G104-F104</f>
        <v>20.878800000000069</v>
      </c>
      <c r="K104" s="287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</row>
    <row r="105" spans="1:30" s="5" customFormat="1">
      <c r="A105" s="57" t="s">
        <v>181</v>
      </c>
      <c r="B105" s="205" t="s">
        <v>182</v>
      </c>
      <c r="C105" s="59" t="s">
        <v>4</v>
      </c>
      <c r="D105" s="33">
        <v>0</v>
      </c>
      <c r="E105" s="33">
        <v>0</v>
      </c>
      <c r="F105" s="15">
        <v>0</v>
      </c>
      <c r="G105" s="33">
        <v>0</v>
      </c>
      <c r="H105" s="15">
        <v>0</v>
      </c>
      <c r="I105" s="225">
        <v>0</v>
      </c>
      <c r="J105" s="312"/>
      <c r="K105" s="282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s="5" customFormat="1" ht="44.25" customHeight="1">
      <c r="A106" s="57" t="s">
        <v>183</v>
      </c>
      <c r="B106" s="205" t="s">
        <v>184</v>
      </c>
      <c r="C106" s="59" t="s">
        <v>4</v>
      </c>
      <c r="D106" s="15">
        <v>0</v>
      </c>
      <c r="E106" s="15">
        <v>0</v>
      </c>
      <c r="F106" s="15">
        <v>521.97</v>
      </c>
      <c r="G106" s="15">
        <f>F106*1.04</f>
        <v>542.8488000000001</v>
      </c>
      <c r="H106" s="15">
        <v>0</v>
      </c>
      <c r="I106" s="225">
        <v>0</v>
      </c>
      <c r="J106" s="312"/>
      <c r="K106" s="288" t="s">
        <v>587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s="13" customFormat="1" ht="25.5">
      <c r="A107" s="37" t="s">
        <v>185</v>
      </c>
      <c r="B107" s="38" t="s">
        <v>186</v>
      </c>
      <c r="C107" s="39" t="s">
        <v>4</v>
      </c>
      <c r="D107" s="17">
        <f>D108+D109</f>
        <v>38919</v>
      </c>
      <c r="E107" s="17">
        <f>E108+E109</f>
        <v>37729.759270357434</v>
      </c>
      <c r="F107" s="17">
        <f>F108+F109</f>
        <v>37441.380652357861</v>
      </c>
      <c r="G107" s="17">
        <f>G108+G109</f>
        <v>38611.984339552546</v>
      </c>
      <c r="H107" s="17">
        <v>37837.047685344238</v>
      </c>
      <c r="I107" s="340">
        <v>39518.904454957781</v>
      </c>
      <c r="J107" s="318">
        <f>G107-F107</f>
        <v>1170.6036871946853</v>
      </c>
      <c r="K107" s="287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</row>
    <row r="108" spans="1:30" s="5" customFormat="1" ht="51">
      <c r="A108" s="189" t="s">
        <v>187</v>
      </c>
      <c r="B108" s="205" t="s">
        <v>188</v>
      </c>
      <c r="C108" s="59" t="s">
        <v>4</v>
      </c>
      <c r="D108" s="33">
        <v>27584.799999999999</v>
      </c>
      <c r="E108" s="33">
        <f>'[1]ТЭ 17'!$E$109</f>
        <v>29486.159230009442</v>
      </c>
      <c r="F108" s="15">
        <v>29279.72826</v>
      </c>
      <c r="G108" s="33">
        <f>F108*1.04</f>
        <v>30450.917390400002</v>
      </c>
      <c r="H108" s="15">
        <v>29570.006128293833</v>
      </c>
      <c r="I108" s="225">
        <v>30884.39290069649</v>
      </c>
      <c r="J108" s="312">
        <f t="shared" ref="J108:J109" si="2">G108-F108</f>
        <v>1171.1891304000019</v>
      </c>
      <c r="K108" s="282" t="s">
        <v>586</v>
      </c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s="5" customFormat="1" ht="51">
      <c r="A109" s="189" t="s">
        <v>189</v>
      </c>
      <c r="B109" s="205" t="s">
        <v>190</v>
      </c>
      <c r="C109" s="59" t="s">
        <v>4</v>
      </c>
      <c r="D109" s="33">
        <v>11334.2</v>
      </c>
      <c r="E109" s="33">
        <f>'[1]ТЭ 17'!$E$110</f>
        <v>8243.6000403479939</v>
      </c>
      <c r="F109" s="15">
        <v>8161.6523923578598</v>
      </c>
      <c r="G109" s="33">
        <f>9630.059/1.18</f>
        <v>8161.0669491525423</v>
      </c>
      <c r="H109" s="15">
        <v>8267.0415570504065</v>
      </c>
      <c r="I109" s="225">
        <v>8634.5115542612966</v>
      </c>
      <c r="J109" s="312">
        <f t="shared" si="2"/>
        <v>-0.58544320531746052</v>
      </c>
      <c r="K109" s="289" t="s">
        <v>585</v>
      </c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s="13" customFormat="1">
      <c r="A110" s="37" t="s">
        <v>191</v>
      </c>
      <c r="B110" s="38" t="s">
        <v>192</v>
      </c>
      <c r="C110" s="39" t="s">
        <v>4</v>
      </c>
      <c r="D110" s="17">
        <f>D111</f>
        <v>17948.290175999999</v>
      </c>
      <c r="E110" s="17">
        <f>E111</f>
        <v>22265.596428211811</v>
      </c>
      <c r="F110" s="17">
        <f>F111</f>
        <v>22991.048337304706</v>
      </c>
      <c r="G110" s="17">
        <f>G111</f>
        <v>33475.091039999999</v>
      </c>
      <c r="H110" s="17">
        <v>22328.910920424743</v>
      </c>
      <c r="I110" s="340">
        <v>23321.431010837619</v>
      </c>
      <c r="J110" s="318">
        <f>G110-F110</f>
        <v>10484.042702695293</v>
      </c>
      <c r="K110" s="287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</row>
    <row r="111" spans="1:30" s="5" customFormat="1" ht="25.5">
      <c r="A111" s="189" t="s">
        <v>193</v>
      </c>
      <c r="B111" s="205" t="s">
        <v>194</v>
      </c>
      <c r="C111" s="59" t="s">
        <v>4</v>
      </c>
      <c r="D111" s="15">
        <f>D112*D113*12/1000</f>
        <v>17948.290175999999</v>
      </c>
      <c r="E111" s="15">
        <f>E112*E113*12/1000</f>
        <v>22265.596428211811</v>
      </c>
      <c r="F111" s="15">
        <f>F112*F113*12/1000</f>
        <v>22991.048337304706</v>
      </c>
      <c r="G111" s="15">
        <f>G112*G113*12/1000</f>
        <v>33475.091039999999</v>
      </c>
      <c r="H111" s="15">
        <v>22328.910920424743</v>
      </c>
      <c r="I111" s="225">
        <v>23321.431010837619</v>
      </c>
      <c r="J111" s="312">
        <f t="shared" ref="J111:J113" si="3">G111-F111</f>
        <v>10484.042702695293</v>
      </c>
      <c r="K111" s="282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s="4" customFormat="1" ht="51">
      <c r="A112" s="189" t="s">
        <v>195</v>
      </c>
      <c r="B112" s="206" t="s">
        <v>196</v>
      </c>
      <c r="C112" s="59" t="s">
        <v>197</v>
      </c>
      <c r="D112" s="15">
        <v>18603.12</v>
      </c>
      <c r="E112" s="15">
        <f>'[1]ТЭ 17'!$E$113</f>
        <v>30988.096898385254</v>
      </c>
      <c r="F112" s="15">
        <v>31997.743063785299</v>
      </c>
      <c r="G112" s="15">
        <v>46570.8</v>
      </c>
      <c r="H112" s="15">
        <v>31076.214709470714</v>
      </c>
      <c r="I112" s="225">
        <v>32457.552453306685</v>
      </c>
      <c r="J112" s="312">
        <f t="shared" si="3"/>
        <v>14573.056936214703</v>
      </c>
      <c r="K112" s="283" t="s">
        <v>604</v>
      </c>
    </row>
    <row r="113" spans="1:30" s="5" customFormat="1" ht="38.25">
      <c r="A113" s="189" t="s">
        <v>198</v>
      </c>
      <c r="B113" s="206" t="s">
        <v>199</v>
      </c>
      <c r="C113" s="59" t="s">
        <v>200</v>
      </c>
      <c r="D113" s="29">
        <v>80.400000000000006</v>
      </c>
      <c r="E113" s="29">
        <v>59.87674477403408</v>
      </c>
      <c r="F113" s="15">
        <v>59.876744774034101</v>
      </c>
      <c r="G113" s="29">
        <v>59.9</v>
      </c>
      <c r="H113" s="15">
        <v>59.87674477403408</v>
      </c>
      <c r="I113" s="225">
        <v>59.87674477403408</v>
      </c>
      <c r="J113" s="312">
        <f t="shared" si="3"/>
        <v>2.3255225965897353E-2</v>
      </c>
      <c r="K113" s="282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s="5" customFormat="1" hidden="1">
      <c r="A114" s="189" t="s">
        <v>201</v>
      </c>
      <c r="B114" s="205" t="s">
        <v>202</v>
      </c>
      <c r="C114" s="59" t="s">
        <v>4</v>
      </c>
      <c r="D114" s="15">
        <v>0</v>
      </c>
      <c r="E114" s="15">
        <v>0</v>
      </c>
      <c r="F114" s="15">
        <v>0</v>
      </c>
      <c r="G114" s="15">
        <v>0</v>
      </c>
      <c r="H114" s="15">
        <v>0</v>
      </c>
      <c r="I114" s="225">
        <v>0</v>
      </c>
      <c r="J114" s="312"/>
      <c r="K114" s="282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s="5" customFormat="1" ht="25.5" hidden="1">
      <c r="A115" s="189" t="s">
        <v>203</v>
      </c>
      <c r="B115" s="180" t="s">
        <v>204</v>
      </c>
      <c r="C115" s="59" t="s">
        <v>197</v>
      </c>
      <c r="D115" s="29"/>
      <c r="E115" s="29"/>
      <c r="F115" s="29"/>
      <c r="G115" s="29"/>
      <c r="H115" s="29"/>
      <c r="I115" s="337"/>
      <c r="J115" s="319"/>
      <c r="K115" s="282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s="5" customFormat="1" ht="38.25" hidden="1">
      <c r="A116" s="189" t="s">
        <v>205</v>
      </c>
      <c r="B116" s="180" t="s">
        <v>206</v>
      </c>
      <c r="C116" s="59" t="s">
        <v>200</v>
      </c>
      <c r="D116" s="29"/>
      <c r="E116" s="29"/>
      <c r="F116" s="29"/>
      <c r="G116" s="29"/>
      <c r="H116" s="29"/>
      <c r="I116" s="337"/>
      <c r="J116" s="319"/>
      <c r="K116" s="282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s="5" customFormat="1" hidden="1">
      <c r="A117" s="189" t="s">
        <v>207</v>
      </c>
      <c r="B117" s="205" t="s">
        <v>208</v>
      </c>
      <c r="C117" s="59" t="s">
        <v>4</v>
      </c>
      <c r="D117" s="15">
        <v>0</v>
      </c>
      <c r="E117" s="15">
        <v>0</v>
      </c>
      <c r="F117" s="15">
        <v>0</v>
      </c>
      <c r="G117" s="15">
        <v>0</v>
      </c>
      <c r="H117" s="15">
        <v>0</v>
      </c>
      <c r="I117" s="225">
        <v>0</v>
      </c>
      <c r="J117" s="312"/>
      <c r="K117" s="282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s="5" customFormat="1" ht="25.5" hidden="1">
      <c r="A118" s="189" t="s">
        <v>209</v>
      </c>
      <c r="B118" s="180" t="s">
        <v>210</v>
      </c>
      <c r="C118" s="59" t="s">
        <v>197</v>
      </c>
      <c r="D118" s="29"/>
      <c r="E118" s="29"/>
      <c r="F118" s="29"/>
      <c r="G118" s="29"/>
      <c r="H118" s="29"/>
      <c r="I118" s="337"/>
      <c r="J118" s="319"/>
      <c r="K118" s="282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s="5" customFormat="1" ht="25.5" hidden="1">
      <c r="A119" s="189" t="s">
        <v>211</v>
      </c>
      <c r="B119" s="180" t="s">
        <v>212</v>
      </c>
      <c r="C119" s="59" t="s">
        <v>200</v>
      </c>
      <c r="D119" s="29"/>
      <c r="E119" s="29"/>
      <c r="F119" s="29"/>
      <c r="G119" s="29"/>
      <c r="H119" s="29"/>
      <c r="I119" s="337"/>
      <c r="J119" s="319"/>
      <c r="K119" s="282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s="5" customFormat="1" hidden="1">
      <c r="A120" s="189" t="s">
        <v>213</v>
      </c>
      <c r="B120" s="205" t="s">
        <v>214</v>
      </c>
      <c r="C120" s="59" t="s">
        <v>4</v>
      </c>
      <c r="D120" s="15">
        <v>0</v>
      </c>
      <c r="E120" s="15">
        <v>0</v>
      </c>
      <c r="F120" s="15">
        <v>0</v>
      </c>
      <c r="G120" s="15">
        <v>0</v>
      </c>
      <c r="H120" s="15">
        <v>0</v>
      </c>
      <c r="I120" s="225">
        <v>0</v>
      </c>
      <c r="J120" s="312"/>
      <c r="K120" s="282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s="5" customFormat="1" hidden="1">
      <c r="A121" s="189" t="s">
        <v>215</v>
      </c>
      <c r="B121" s="180" t="s">
        <v>216</v>
      </c>
      <c r="C121" s="59" t="s">
        <v>197</v>
      </c>
      <c r="D121" s="29"/>
      <c r="E121" s="29"/>
      <c r="F121" s="29"/>
      <c r="G121" s="29"/>
      <c r="H121" s="29"/>
      <c r="I121" s="337"/>
      <c r="J121" s="319"/>
      <c r="K121" s="282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s="5" customFormat="1" ht="25.5" hidden="1">
      <c r="A122" s="189" t="s">
        <v>217</v>
      </c>
      <c r="B122" s="206" t="s">
        <v>218</v>
      </c>
      <c r="C122" s="59" t="s">
        <v>200</v>
      </c>
      <c r="D122" s="29"/>
      <c r="E122" s="29"/>
      <c r="F122" s="29"/>
      <c r="G122" s="29"/>
      <c r="H122" s="29"/>
      <c r="I122" s="337"/>
      <c r="J122" s="319"/>
      <c r="K122" s="282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s="5" customFormat="1" ht="25.5" hidden="1">
      <c r="A123" s="189" t="s">
        <v>219</v>
      </c>
      <c r="B123" s="205" t="s">
        <v>220</v>
      </c>
      <c r="C123" s="59" t="s">
        <v>4</v>
      </c>
      <c r="D123" s="15">
        <v>0</v>
      </c>
      <c r="E123" s="15">
        <v>0</v>
      </c>
      <c r="F123" s="15">
        <v>0</v>
      </c>
      <c r="G123" s="15">
        <v>0</v>
      </c>
      <c r="H123" s="15">
        <v>0</v>
      </c>
      <c r="I123" s="225">
        <v>0</v>
      </c>
      <c r="J123" s="312"/>
      <c r="K123" s="282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s="5" customFormat="1" ht="38.25" hidden="1">
      <c r="A124" s="189" t="s">
        <v>221</v>
      </c>
      <c r="B124" s="180" t="s">
        <v>222</v>
      </c>
      <c r="C124" s="59" t="s">
        <v>197</v>
      </c>
      <c r="D124" s="29"/>
      <c r="E124" s="29"/>
      <c r="F124" s="29"/>
      <c r="G124" s="29"/>
      <c r="H124" s="29"/>
      <c r="I124" s="337"/>
      <c r="J124" s="319"/>
      <c r="K124" s="282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s="5" customFormat="1" ht="25.5" hidden="1">
      <c r="A125" s="189" t="s">
        <v>223</v>
      </c>
      <c r="B125" s="206" t="s">
        <v>224</v>
      </c>
      <c r="C125" s="59" t="s">
        <v>200</v>
      </c>
      <c r="D125" s="29"/>
      <c r="E125" s="29"/>
      <c r="F125" s="29"/>
      <c r="G125" s="29"/>
      <c r="H125" s="29"/>
      <c r="I125" s="337"/>
      <c r="J125" s="319"/>
      <c r="K125" s="282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s="13" customFormat="1" ht="38.25">
      <c r="A126" s="37" t="s">
        <v>225</v>
      </c>
      <c r="B126" s="207" t="s">
        <v>226</v>
      </c>
      <c r="C126" s="39" t="s">
        <v>4</v>
      </c>
      <c r="D126" s="17">
        <f>D127+D128+D135</f>
        <v>13339.11</v>
      </c>
      <c r="E126" s="17">
        <f>E127+E128+E135</f>
        <v>2491.1890458767534</v>
      </c>
      <c r="F126" s="17">
        <f>F127+F128+F135</f>
        <v>2420.1560000000004</v>
      </c>
      <c r="G126" s="17">
        <f>G127+G128+G135</f>
        <v>5299.9077898305086</v>
      </c>
      <c r="H126" s="17">
        <v>2498.2603308482649</v>
      </c>
      <c r="I126" s="340">
        <v>2609.30800255447</v>
      </c>
      <c r="J126" s="318">
        <f>SUM(J127:J135)</f>
        <v>2879.7517898305082</v>
      </c>
      <c r="K126" s="290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</row>
    <row r="127" spans="1:30" s="5" customFormat="1" ht="38.25">
      <c r="A127" s="57" t="s">
        <v>227</v>
      </c>
      <c r="B127" s="205" t="s">
        <v>228</v>
      </c>
      <c r="C127" s="59" t="s">
        <v>4</v>
      </c>
      <c r="D127" s="33">
        <v>78.97</v>
      </c>
      <c r="E127" s="33">
        <f>'[1]ТЭ 17'!$E$128</f>
        <v>92.63649087675357</v>
      </c>
      <c r="F127" s="259">
        <v>69.86</v>
      </c>
      <c r="G127" s="33">
        <f>F127*1.04</f>
        <v>72.654399999999995</v>
      </c>
      <c r="H127" s="15">
        <v>92.89991217782493</v>
      </c>
      <c r="I127" s="225">
        <v>97.029313274129237</v>
      </c>
      <c r="J127" s="312">
        <f>G127-F127</f>
        <v>2.794399999999996</v>
      </c>
      <c r="K127" s="288" t="s">
        <v>588</v>
      </c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s="5" customFormat="1" ht="51">
      <c r="A128" s="57" t="s">
        <v>229</v>
      </c>
      <c r="B128" s="205" t="s">
        <v>230</v>
      </c>
      <c r="C128" s="59" t="s">
        <v>4</v>
      </c>
      <c r="D128" s="33">
        <v>2842.48</v>
      </c>
      <c r="E128" s="33">
        <f>'[1]ТЭ 17'!$E$129</f>
        <v>2360.3525549999999</v>
      </c>
      <c r="F128" s="259">
        <v>2350.2960000000003</v>
      </c>
      <c r="G128" s="33">
        <v>3447.6</v>
      </c>
      <c r="H128" s="15">
        <v>2367.0644580000003</v>
      </c>
      <c r="I128" s="225">
        <v>2472.2804731581</v>
      </c>
      <c r="J128" s="312">
        <f t="shared" ref="J128:J135" si="4">G128-F128</f>
        <v>1097.3039999999996</v>
      </c>
      <c r="K128" s="289" t="s">
        <v>582</v>
      </c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s="5" customFormat="1">
      <c r="A129" s="57" t="s">
        <v>231</v>
      </c>
      <c r="B129" s="205" t="s">
        <v>232</v>
      </c>
      <c r="C129" s="59" t="s">
        <v>4</v>
      </c>
      <c r="D129" s="33"/>
      <c r="E129" s="33"/>
      <c r="F129" s="35">
        <v>0</v>
      </c>
      <c r="G129" s="33"/>
      <c r="H129" s="35"/>
      <c r="I129" s="341"/>
      <c r="J129" s="312">
        <f t="shared" si="4"/>
        <v>0</v>
      </c>
      <c r="K129" s="282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s="5" customFormat="1">
      <c r="A130" s="57" t="s">
        <v>233</v>
      </c>
      <c r="B130" s="205" t="s">
        <v>234</v>
      </c>
      <c r="C130" s="59" t="s">
        <v>4</v>
      </c>
      <c r="D130" s="33"/>
      <c r="E130" s="33"/>
      <c r="F130" s="35">
        <v>0</v>
      </c>
      <c r="G130" s="33"/>
      <c r="H130" s="35"/>
      <c r="I130" s="341"/>
      <c r="J130" s="312">
        <f t="shared" si="4"/>
        <v>0</v>
      </c>
      <c r="K130" s="282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s="5" customFormat="1">
      <c r="A131" s="57" t="s">
        <v>235</v>
      </c>
      <c r="B131" s="205" t="s">
        <v>236</v>
      </c>
      <c r="C131" s="59" t="s">
        <v>4</v>
      </c>
      <c r="D131" s="33"/>
      <c r="E131" s="33"/>
      <c r="F131" s="35">
        <v>0</v>
      </c>
      <c r="G131" s="33"/>
      <c r="H131" s="35"/>
      <c r="I131" s="341"/>
      <c r="J131" s="312">
        <f t="shared" si="4"/>
        <v>0</v>
      </c>
      <c r="K131" s="282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s="5" customFormat="1">
      <c r="A132" s="57" t="s">
        <v>237</v>
      </c>
      <c r="B132" s="205" t="s">
        <v>238</v>
      </c>
      <c r="C132" s="59" t="s">
        <v>4</v>
      </c>
      <c r="D132" s="33"/>
      <c r="E132" s="33"/>
      <c r="F132" s="35">
        <v>0</v>
      </c>
      <c r="G132" s="33"/>
      <c r="H132" s="35"/>
      <c r="I132" s="341"/>
      <c r="J132" s="312">
        <f t="shared" si="4"/>
        <v>0</v>
      </c>
      <c r="K132" s="282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s="5" customFormat="1">
      <c r="A133" s="57" t="s">
        <v>239</v>
      </c>
      <c r="B133" s="205" t="s">
        <v>240</v>
      </c>
      <c r="C133" s="59" t="s">
        <v>4</v>
      </c>
      <c r="D133" s="33"/>
      <c r="E133" s="33"/>
      <c r="F133" s="35">
        <v>0</v>
      </c>
      <c r="G133" s="33"/>
      <c r="H133" s="35"/>
      <c r="I133" s="341"/>
      <c r="J133" s="312">
        <f t="shared" si="4"/>
        <v>0</v>
      </c>
      <c r="K133" s="282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s="5" customFormat="1" ht="25.5">
      <c r="A134" s="57" t="s">
        <v>241</v>
      </c>
      <c r="B134" s="205" t="s">
        <v>242</v>
      </c>
      <c r="C134" s="59" t="s">
        <v>4</v>
      </c>
      <c r="D134" s="33"/>
      <c r="E134" s="33"/>
      <c r="F134" s="35">
        <v>0</v>
      </c>
      <c r="G134" s="33"/>
      <c r="H134" s="35"/>
      <c r="I134" s="341"/>
      <c r="J134" s="312">
        <f t="shared" si="4"/>
        <v>0</v>
      </c>
      <c r="K134" s="282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s="5" customFormat="1" ht="51">
      <c r="A135" s="57" t="s">
        <v>610</v>
      </c>
      <c r="B135" s="205" t="s">
        <v>243</v>
      </c>
      <c r="C135" s="59" t="s">
        <v>4</v>
      </c>
      <c r="D135" s="15">
        <f>2318.6+8099.06</f>
        <v>10417.66</v>
      </c>
      <c r="E135" s="15">
        <f>'[1]ТЭ 17'!$E$137</f>
        <v>38.200000000000003</v>
      </c>
      <c r="F135" s="15">
        <v>0</v>
      </c>
      <c r="G135" s="15">
        <f>2099.991/1.18</f>
        <v>1779.6533898305086</v>
      </c>
      <c r="H135" s="15">
        <v>38.29596067044001</v>
      </c>
      <c r="I135" s="225">
        <v>39.998216122241061</v>
      </c>
      <c r="J135" s="312">
        <f t="shared" si="4"/>
        <v>1779.6533898305086</v>
      </c>
      <c r="K135" s="291" t="s">
        <v>584</v>
      </c>
      <c r="L135" s="261"/>
      <c r="M135" s="262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s="13" customFormat="1" ht="38.25">
      <c r="A136" s="204" t="s">
        <v>244</v>
      </c>
      <c r="B136" s="207" t="s">
        <v>245</v>
      </c>
      <c r="C136" s="39" t="s">
        <v>4</v>
      </c>
      <c r="D136" s="34">
        <v>33.700000000000003</v>
      </c>
      <c r="E136" s="34">
        <f>'[1]ТЭ 17'!$E$142</f>
        <v>46.16469</v>
      </c>
      <c r="F136" s="17">
        <v>0</v>
      </c>
      <c r="G136" s="34">
        <f>147.08609*1.04</f>
        <v>152.96953360000001</v>
      </c>
      <c r="H136" s="17">
        <v>46.295964000000005</v>
      </c>
      <c r="I136" s="340">
        <v>48.353819599799998</v>
      </c>
      <c r="J136" s="318">
        <f>G136-F136</f>
        <v>152.96953360000001</v>
      </c>
      <c r="K136" s="283" t="s">
        <v>600</v>
      </c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</row>
    <row r="137" spans="1:30" s="5" customFormat="1" ht="38.25">
      <c r="A137" s="204" t="s">
        <v>249</v>
      </c>
      <c r="B137" s="207" t="s">
        <v>246</v>
      </c>
      <c r="C137" s="39" t="s">
        <v>4</v>
      </c>
      <c r="D137" s="34"/>
      <c r="E137" s="34"/>
      <c r="F137" s="17">
        <v>0</v>
      </c>
      <c r="G137" s="34">
        <f>42.2746*1.04</f>
        <v>43.965584</v>
      </c>
      <c r="H137" s="15">
        <v>0</v>
      </c>
      <c r="I137" s="225">
        <v>0</v>
      </c>
      <c r="J137" s="318">
        <f t="shared" ref="J137:J144" si="5">G137-F137</f>
        <v>43.965584</v>
      </c>
      <c r="K137" s="283" t="s">
        <v>599</v>
      </c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s="5" customFormat="1">
      <c r="A138" s="204" t="s">
        <v>601</v>
      </c>
      <c r="B138" s="209" t="s">
        <v>247</v>
      </c>
      <c r="C138" s="39" t="s">
        <v>4</v>
      </c>
      <c r="D138" s="34"/>
      <c r="E138" s="34"/>
      <c r="F138" s="55">
        <v>0</v>
      </c>
      <c r="G138" s="34">
        <v>0</v>
      </c>
      <c r="H138" s="35">
        <v>0</v>
      </c>
      <c r="I138" s="341">
        <v>0</v>
      </c>
      <c r="J138" s="318">
        <f t="shared" si="5"/>
        <v>0</v>
      </c>
      <c r="K138" s="282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s="5" customFormat="1" ht="25.5">
      <c r="A139" s="204" t="s">
        <v>602</v>
      </c>
      <c r="B139" s="209" t="s">
        <v>248</v>
      </c>
      <c r="C139" s="39" t="s">
        <v>4</v>
      </c>
      <c r="D139" s="34"/>
      <c r="E139" s="34"/>
      <c r="F139" s="17">
        <v>0</v>
      </c>
      <c r="G139" s="34">
        <v>0</v>
      </c>
      <c r="H139" s="15">
        <v>0</v>
      </c>
      <c r="I139" s="225">
        <v>0</v>
      </c>
      <c r="J139" s="318">
        <f t="shared" si="5"/>
        <v>0</v>
      </c>
      <c r="K139" s="282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s="13" customFormat="1" ht="38.25" customHeight="1">
      <c r="A140" s="204" t="s">
        <v>603</v>
      </c>
      <c r="B140" s="209" t="s">
        <v>568</v>
      </c>
      <c r="C140" s="39" t="s">
        <v>4</v>
      </c>
      <c r="D140" s="17">
        <f>10428.8+27.4</f>
        <v>10456.199999999999</v>
      </c>
      <c r="E140" s="17">
        <f>'[1]ТЭ 17'!$E$146</f>
        <v>9955.9828655046422</v>
      </c>
      <c r="F140" s="17">
        <f>F141+F142+F143</f>
        <v>9479.1005675750694</v>
      </c>
      <c r="G140" s="17">
        <f>G141+G142+G143</f>
        <v>9858.2645902780732</v>
      </c>
      <c r="H140" s="17">
        <v>10019.046163457402</v>
      </c>
      <c r="I140" s="340">
        <v>10464.392765423083</v>
      </c>
      <c r="J140" s="318">
        <f t="shared" si="5"/>
        <v>379.16402270300387</v>
      </c>
      <c r="K140" s="363" t="s">
        <v>589</v>
      </c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</row>
    <row r="141" spans="1:30" s="13" customFormat="1">
      <c r="A141" s="204"/>
      <c r="B141" s="255" t="s">
        <v>536</v>
      </c>
      <c r="C141" s="39"/>
      <c r="D141" s="17"/>
      <c r="E141" s="17"/>
      <c r="F141" s="256">
        <v>9230.3005675750701</v>
      </c>
      <c r="G141" s="256">
        <f>F141*1.04</f>
        <v>9599.5125902780728</v>
      </c>
      <c r="H141" s="17"/>
      <c r="I141" s="340"/>
      <c r="J141" s="318"/>
      <c r="K141" s="363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</row>
    <row r="142" spans="1:30" s="13" customFormat="1">
      <c r="A142" s="204"/>
      <c r="B142" s="255" t="s">
        <v>569</v>
      </c>
      <c r="C142" s="39"/>
      <c r="D142" s="17"/>
      <c r="E142" s="17"/>
      <c r="F142" s="256">
        <v>217.3</v>
      </c>
      <c r="G142" s="256">
        <f>F142*1.04</f>
        <v>225.99200000000002</v>
      </c>
      <c r="H142" s="17"/>
      <c r="I142" s="340"/>
      <c r="J142" s="318"/>
      <c r="K142" s="363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</row>
    <row r="143" spans="1:30" s="13" customFormat="1">
      <c r="A143" s="204"/>
      <c r="B143" s="255" t="s">
        <v>570</v>
      </c>
      <c r="C143" s="39"/>
      <c r="D143" s="17"/>
      <c r="E143" s="17"/>
      <c r="F143" s="256">
        <v>31.5</v>
      </c>
      <c r="G143" s="256">
        <f>F143*1.04</f>
        <v>32.76</v>
      </c>
      <c r="H143" s="17"/>
      <c r="I143" s="340"/>
      <c r="J143" s="318"/>
      <c r="K143" s="363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</row>
    <row r="144" spans="1:30" s="31" customFormat="1" ht="15">
      <c r="A144" s="210" t="s">
        <v>76</v>
      </c>
      <c r="B144" s="211" t="s">
        <v>250</v>
      </c>
      <c r="C144" s="212" t="s">
        <v>4</v>
      </c>
      <c r="D144" s="36">
        <f>D145+D146+D150++D154+D162</f>
        <v>14242.279999999997</v>
      </c>
      <c r="E144" s="36">
        <f>E145+E146+E150++E154+E162</f>
        <v>8753.0501413199672</v>
      </c>
      <c r="F144" s="36">
        <f>F145+F146+F150++F154+F162</f>
        <v>8103.5618378660211</v>
      </c>
      <c r="G144" s="36">
        <f>G145+G146+G150++G154+G162</f>
        <v>11375.25105024</v>
      </c>
      <c r="H144" s="36">
        <v>8712.9055166316721</v>
      </c>
      <c r="I144" s="342">
        <v>8972.8355178534912</v>
      </c>
      <c r="J144" s="318">
        <f t="shared" si="5"/>
        <v>3271.689212373979</v>
      </c>
      <c r="K144" s="292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</row>
    <row r="145" spans="1:30" s="13" customFormat="1" ht="38.25" hidden="1">
      <c r="A145" s="204" t="s">
        <v>79</v>
      </c>
      <c r="B145" s="209" t="s">
        <v>251</v>
      </c>
      <c r="C145" s="39" t="s">
        <v>4</v>
      </c>
      <c r="D145" s="18">
        <v>278.8</v>
      </c>
      <c r="E145" s="18">
        <f>'[1]ТЭ 17'!$E$155</f>
        <v>145.07146</v>
      </c>
      <c r="F145" s="18"/>
      <c r="G145" s="18"/>
      <c r="H145" s="18">
        <v>146.21699866340001</v>
      </c>
      <c r="I145" s="343">
        <v>155.28245258053082</v>
      </c>
      <c r="J145" s="320">
        <f>G145-F145</f>
        <v>0</v>
      </c>
      <c r="K145" s="293" t="s">
        <v>563</v>
      </c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</row>
    <row r="146" spans="1:30" s="13" customFormat="1">
      <c r="A146" s="37" t="s">
        <v>93</v>
      </c>
      <c r="B146" s="38" t="s">
        <v>252</v>
      </c>
      <c r="C146" s="39" t="s">
        <v>4</v>
      </c>
      <c r="D146" s="17">
        <f>D147</f>
        <v>8542.4</v>
      </c>
      <c r="E146" s="17">
        <v>1258.51656</v>
      </c>
      <c r="F146" s="17">
        <f>F147+F148+F149</f>
        <v>1160.2652399999999</v>
      </c>
      <c r="G146" s="17">
        <f>G147+G148+G149</f>
        <v>1160.2652399999999</v>
      </c>
      <c r="H146" s="17">
        <v>1172.6054199999999</v>
      </c>
      <c r="I146" s="340">
        <v>1158.92508</v>
      </c>
      <c r="J146" s="320">
        <f t="shared" ref="J146:J147" si="6">G146-F146</f>
        <v>0</v>
      </c>
      <c r="K146" s="287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</row>
    <row r="147" spans="1:30" s="5" customFormat="1" ht="51">
      <c r="A147" s="189" t="s">
        <v>253</v>
      </c>
      <c r="B147" s="205" t="s">
        <v>254</v>
      </c>
      <c r="C147" s="59" t="s">
        <v>4</v>
      </c>
      <c r="D147" s="29">
        <v>8542.4</v>
      </c>
      <c r="E147" s="29">
        <f>'[1]ТЭ 17'!$E$157</f>
        <v>1258.51656</v>
      </c>
      <c r="F147" s="29">
        <v>1160.2652399999999</v>
      </c>
      <c r="G147" s="29">
        <f>F147</f>
        <v>1160.2652399999999</v>
      </c>
      <c r="H147" s="29">
        <v>1172.6054199999999</v>
      </c>
      <c r="I147" s="337">
        <v>1158.92508</v>
      </c>
      <c r="J147" s="319">
        <f t="shared" si="6"/>
        <v>0</v>
      </c>
      <c r="K147" s="283" t="s">
        <v>597</v>
      </c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s="5" customFormat="1">
      <c r="A148" s="189" t="s">
        <v>255</v>
      </c>
      <c r="B148" s="205" t="s">
        <v>256</v>
      </c>
      <c r="C148" s="59" t="s">
        <v>4</v>
      </c>
      <c r="D148" s="29"/>
      <c r="E148" s="29"/>
      <c r="F148" s="29">
        <v>0</v>
      </c>
      <c r="G148" s="29"/>
      <c r="H148" s="29"/>
      <c r="I148" s="337"/>
      <c r="J148" s="319"/>
      <c r="K148" s="282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s="5" customFormat="1">
      <c r="A149" s="189" t="s">
        <v>257</v>
      </c>
      <c r="B149" s="205" t="s">
        <v>258</v>
      </c>
      <c r="C149" s="59" t="s">
        <v>4</v>
      </c>
      <c r="D149" s="29"/>
      <c r="E149" s="29"/>
      <c r="F149" s="29">
        <v>0</v>
      </c>
      <c r="G149" s="29"/>
      <c r="H149" s="29"/>
      <c r="I149" s="337"/>
      <c r="J149" s="319"/>
      <c r="K149" s="282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s="13" customFormat="1" ht="25.5">
      <c r="A150" s="37" t="s">
        <v>96</v>
      </c>
      <c r="B150" s="38" t="s">
        <v>259</v>
      </c>
      <c r="C150" s="39" t="s">
        <v>4</v>
      </c>
      <c r="D150" s="17">
        <f>D151+D153</f>
        <v>506.65999999999997</v>
      </c>
      <c r="E150" s="17">
        <f>E151+E153</f>
        <v>566.9</v>
      </c>
      <c r="F150" s="17">
        <f>F151+F153</f>
        <v>0</v>
      </c>
      <c r="G150" s="17">
        <f>G151+G153</f>
        <v>105.50831616000002</v>
      </c>
      <c r="H150" s="17">
        <v>592.4</v>
      </c>
      <c r="I150" s="340">
        <v>566.9</v>
      </c>
      <c r="J150" s="318">
        <f>G150-F150</f>
        <v>105.50831616000002</v>
      </c>
      <c r="K150" s="287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</row>
    <row r="151" spans="1:30" s="5" customFormat="1" ht="71.25" customHeight="1">
      <c r="A151" s="57" t="s">
        <v>260</v>
      </c>
      <c r="B151" s="205" t="s">
        <v>261</v>
      </c>
      <c r="C151" s="59" t="s">
        <v>4</v>
      </c>
      <c r="D151" s="29">
        <v>500.45</v>
      </c>
      <c r="E151" s="29">
        <f>'[1]ТЭ 17'!$E$161</f>
        <v>566.9</v>
      </c>
      <c r="F151" s="29">
        <v>0</v>
      </c>
      <c r="G151" s="29">
        <f>42.27096/5*12*1.04</f>
        <v>105.50831616000002</v>
      </c>
      <c r="H151" s="29">
        <v>566.9</v>
      </c>
      <c r="I151" s="337">
        <v>566.9</v>
      </c>
      <c r="J151" s="319">
        <f>G151-F151</f>
        <v>105.50831616000002</v>
      </c>
      <c r="K151" s="288" t="s">
        <v>598</v>
      </c>
      <c r="L151" s="360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s="5" customFormat="1" ht="12.75" customHeight="1">
      <c r="A152" s="57" t="s">
        <v>262</v>
      </c>
      <c r="B152" s="205" t="s">
        <v>263</v>
      </c>
      <c r="C152" s="59" t="s">
        <v>4</v>
      </c>
      <c r="D152" s="29"/>
      <c r="E152" s="29"/>
      <c r="F152" s="29"/>
      <c r="G152" s="29"/>
      <c r="H152" s="29"/>
      <c r="I152" s="337"/>
      <c r="J152" s="319"/>
      <c r="K152" s="282"/>
      <c r="L152" s="360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s="5" customFormat="1">
      <c r="A153" s="57" t="s">
        <v>264</v>
      </c>
      <c r="B153" s="205" t="s">
        <v>265</v>
      </c>
      <c r="C153" s="59" t="s">
        <v>4</v>
      </c>
      <c r="D153" s="29">
        <v>6.21</v>
      </c>
      <c r="E153" s="29">
        <f>'[1]ТЭ 17'!$E$163</f>
        <v>0</v>
      </c>
      <c r="F153" s="29"/>
      <c r="G153" s="29">
        <v>0</v>
      </c>
      <c r="H153" s="29">
        <v>25.5</v>
      </c>
      <c r="I153" s="337">
        <v>0</v>
      </c>
      <c r="J153" s="319">
        <f>G153-F153</f>
        <v>0</v>
      </c>
      <c r="K153" s="294"/>
      <c r="L153" s="360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s="13" customFormat="1">
      <c r="A154" s="204" t="s">
        <v>266</v>
      </c>
      <c r="B154" s="207" t="s">
        <v>267</v>
      </c>
      <c r="C154" s="39" t="s">
        <v>4</v>
      </c>
      <c r="D154" s="17">
        <f>D156</f>
        <v>4827.79</v>
      </c>
      <c r="E154" s="17">
        <f>E156</f>
        <v>6724.2101213199667</v>
      </c>
      <c r="F154" s="17">
        <f>F156</f>
        <v>6943.2965978660213</v>
      </c>
      <c r="G154" s="17">
        <f>G156</f>
        <v>10109.47749408</v>
      </c>
      <c r="H154" s="17">
        <v>6743.3310979682719</v>
      </c>
      <c r="I154" s="340">
        <v>7043.0721652729608</v>
      </c>
      <c r="J154" s="318">
        <f>G154-F154</f>
        <v>3166.1808962139785</v>
      </c>
      <c r="K154" s="295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</row>
    <row r="155" spans="1:30" s="5" customFormat="1" ht="30">
      <c r="A155" s="189" t="s">
        <v>268</v>
      </c>
      <c r="B155" s="205" t="s">
        <v>269</v>
      </c>
      <c r="C155" s="59" t="s">
        <v>3</v>
      </c>
      <c r="D155" s="213"/>
      <c r="E155" s="213">
        <v>0.30199999999999999</v>
      </c>
      <c r="F155" s="32">
        <v>0.30199999999999999</v>
      </c>
      <c r="G155" s="213">
        <v>0.30199999999999999</v>
      </c>
      <c r="H155" s="32">
        <v>0.30199999999999999</v>
      </c>
      <c r="I155" s="344">
        <v>0.30199999999999999</v>
      </c>
      <c r="J155" s="321"/>
      <c r="K155" s="296" t="s">
        <v>590</v>
      </c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s="5" customFormat="1" ht="45">
      <c r="A156" s="189" t="s">
        <v>270</v>
      </c>
      <c r="B156" s="205" t="s">
        <v>271</v>
      </c>
      <c r="C156" s="59" t="s">
        <v>4</v>
      </c>
      <c r="D156" s="15">
        <v>4827.79</v>
      </c>
      <c r="E156" s="15">
        <f>E155*E111</f>
        <v>6724.2101213199667</v>
      </c>
      <c r="F156" s="15">
        <f>F155*F111</f>
        <v>6943.2965978660213</v>
      </c>
      <c r="G156" s="15">
        <f>G155*G111</f>
        <v>10109.47749408</v>
      </c>
      <c r="H156" s="15">
        <v>6743.3310979682719</v>
      </c>
      <c r="I156" s="225">
        <v>7043.0721652729608</v>
      </c>
      <c r="J156" s="312">
        <f>G156-F156</f>
        <v>3166.1808962139785</v>
      </c>
      <c r="K156" s="297" t="s">
        <v>591</v>
      </c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s="5" customFormat="1" ht="25.5" hidden="1">
      <c r="A157" s="189" t="s">
        <v>272</v>
      </c>
      <c r="B157" s="205" t="s">
        <v>273</v>
      </c>
      <c r="C157" s="59" t="s">
        <v>4</v>
      </c>
      <c r="D157" s="15">
        <v>0</v>
      </c>
      <c r="E157" s="15">
        <v>0</v>
      </c>
      <c r="F157" s="15">
        <v>0</v>
      </c>
      <c r="G157" s="15">
        <v>0</v>
      </c>
      <c r="H157" s="15">
        <v>0</v>
      </c>
      <c r="I157" s="225">
        <v>0</v>
      </c>
      <c r="J157" s="312"/>
      <c r="K157" s="282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s="5" customFormat="1" ht="25.5" hidden="1">
      <c r="A158" s="189" t="s">
        <v>274</v>
      </c>
      <c r="B158" s="205" t="s">
        <v>275</v>
      </c>
      <c r="C158" s="59" t="s">
        <v>4</v>
      </c>
      <c r="D158" s="15">
        <v>0</v>
      </c>
      <c r="E158" s="15">
        <v>0</v>
      </c>
      <c r="F158" s="15">
        <v>0</v>
      </c>
      <c r="G158" s="15">
        <v>0</v>
      </c>
      <c r="H158" s="15">
        <v>0</v>
      </c>
      <c r="I158" s="225">
        <v>0</v>
      </c>
      <c r="J158" s="312"/>
      <c r="K158" s="282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s="5" customFormat="1" ht="25.5" hidden="1">
      <c r="A159" s="189" t="s">
        <v>276</v>
      </c>
      <c r="B159" s="205" t="s">
        <v>277</v>
      </c>
      <c r="C159" s="59" t="s">
        <v>4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225">
        <v>0</v>
      </c>
      <c r="J159" s="312"/>
      <c r="K159" s="282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s="5" customFormat="1" ht="25.5" hidden="1">
      <c r="A160" s="189" t="s">
        <v>278</v>
      </c>
      <c r="B160" s="205" t="s">
        <v>279</v>
      </c>
      <c r="C160" s="59" t="s">
        <v>4</v>
      </c>
      <c r="D160" s="15">
        <v>0</v>
      </c>
      <c r="E160" s="15">
        <v>0</v>
      </c>
      <c r="F160" s="15">
        <v>0</v>
      </c>
      <c r="G160" s="15">
        <v>0</v>
      </c>
      <c r="H160" s="15">
        <v>0</v>
      </c>
      <c r="I160" s="225">
        <v>0</v>
      </c>
      <c r="J160" s="312"/>
      <c r="K160" s="282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s="5" customFormat="1" hidden="1">
      <c r="A161" s="57" t="s">
        <v>280</v>
      </c>
      <c r="B161" s="208" t="s">
        <v>281</v>
      </c>
      <c r="C161" s="59" t="s">
        <v>4</v>
      </c>
      <c r="D161" s="33"/>
      <c r="E161" s="33"/>
      <c r="F161" s="33"/>
      <c r="G161" s="33"/>
      <c r="H161" s="33"/>
      <c r="I161" s="235"/>
      <c r="J161" s="322"/>
      <c r="K161" s="282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s="13" customFormat="1" ht="25.5">
      <c r="A162" s="204" t="s">
        <v>280</v>
      </c>
      <c r="B162" s="207" t="s">
        <v>282</v>
      </c>
      <c r="C162" s="39" t="s">
        <v>4</v>
      </c>
      <c r="D162" s="34">
        <v>86.63</v>
      </c>
      <c r="E162" s="34">
        <f>'[1]ТЭ 17'!$E$174</f>
        <v>58.351999999999997</v>
      </c>
      <c r="F162" s="34">
        <v>0</v>
      </c>
      <c r="G162" s="34">
        <v>0</v>
      </c>
      <c r="H162" s="34">
        <v>58.351999999999997</v>
      </c>
      <c r="I162" s="345">
        <v>48.655819999999999</v>
      </c>
      <c r="J162" s="323">
        <f>G162-F162</f>
        <v>0</v>
      </c>
      <c r="K162" s="28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</row>
    <row r="163" spans="1:30" s="5" customFormat="1" ht="25.5" hidden="1">
      <c r="A163" s="57" t="s">
        <v>283</v>
      </c>
      <c r="B163" s="208" t="s">
        <v>284</v>
      </c>
      <c r="C163" s="59" t="s">
        <v>4</v>
      </c>
      <c r="D163" s="33"/>
      <c r="E163" s="33"/>
      <c r="F163" s="33"/>
      <c r="G163" s="33"/>
      <c r="H163" s="33"/>
      <c r="I163" s="235"/>
      <c r="J163" s="322"/>
      <c r="K163" s="282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s="5" customFormat="1" hidden="1">
      <c r="A164" s="57" t="s">
        <v>93</v>
      </c>
      <c r="B164" s="208" t="s">
        <v>285</v>
      </c>
      <c r="C164" s="59" t="s">
        <v>4</v>
      </c>
      <c r="D164" s="33"/>
      <c r="E164" s="33"/>
      <c r="F164" s="33"/>
      <c r="G164" s="33"/>
      <c r="H164" s="33"/>
      <c r="I164" s="235"/>
      <c r="J164" s="322"/>
      <c r="K164" s="282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s="5" customFormat="1" ht="51" hidden="1">
      <c r="A165" s="57" t="s">
        <v>286</v>
      </c>
      <c r="B165" s="208" t="s">
        <v>287</v>
      </c>
      <c r="C165" s="59" t="s">
        <v>4</v>
      </c>
      <c r="D165" s="35"/>
      <c r="E165" s="35"/>
      <c r="F165" s="35"/>
      <c r="G165" s="35"/>
      <c r="H165" s="35"/>
      <c r="I165" s="341"/>
      <c r="J165" s="324"/>
      <c r="K165" s="282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s="31" customFormat="1" ht="45">
      <c r="A166" s="210" t="s">
        <v>36</v>
      </c>
      <c r="B166" s="214" t="s">
        <v>288</v>
      </c>
      <c r="C166" s="212" t="s">
        <v>4</v>
      </c>
      <c r="D166" s="36">
        <f>D167+D174+D205</f>
        <v>150314.85916792401</v>
      </c>
      <c r="E166" s="36">
        <f>E167+E174+E205</f>
        <v>202004.44401374744</v>
      </c>
      <c r="F166" s="36">
        <f>F167+F174+F205</f>
        <v>207992.24244887437</v>
      </c>
      <c r="G166" s="36">
        <f>G167+G174+G205</f>
        <v>216699.4577314824</v>
      </c>
      <c r="H166" s="36">
        <v>212538.68182524061</v>
      </c>
      <c r="I166" s="342">
        <v>227330.5942538215</v>
      </c>
      <c r="J166" s="325">
        <f>G166-F166</f>
        <v>8707.2152826080273</v>
      </c>
      <c r="K166" s="298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</row>
    <row r="167" spans="1:30" s="13" customFormat="1" ht="12.75" customHeight="1">
      <c r="A167" s="37" t="s">
        <v>38</v>
      </c>
      <c r="B167" s="215" t="s">
        <v>571</v>
      </c>
      <c r="C167" s="39" t="s">
        <v>4</v>
      </c>
      <c r="D167" s="17">
        <f>D169*D170/1000</f>
        <v>3183.1407879999997</v>
      </c>
      <c r="E167" s="17">
        <f>E169*E170/1000</f>
        <v>7220.2300774200276</v>
      </c>
      <c r="F167" s="257">
        <f>F168+F171</f>
        <v>7683.5487880999999</v>
      </c>
      <c r="G167" s="257">
        <f>G168+G171</f>
        <v>7971.6165409999994</v>
      </c>
      <c r="H167" s="17">
        <v>7259.8507485313603</v>
      </c>
      <c r="I167" s="340">
        <v>7680.0624885660309</v>
      </c>
      <c r="J167" s="318">
        <f>G168-F168</f>
        <v>283.81126889999996</v>
      </c>
      <c r="K167" s="298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</row>
    <row r="168" spans="1:30" s="13" customFormat="1" ht="28.5" customHeight="1">
      <c r="A168" s="37"/>
      <c r="B168" s="215" t="s">
        <v>289</v>
      </c>
      <c r="C168" s="39" t="s">
        <v>4</v>
      </c>
      <c r="D168" s="17"/>
      <c r="E168" s="17"/>
      <c r="F168" s="17">
        <f>F169*F170/1000</f>
        <v>7598.3563280999997</v>
      </c>
      <c r="G168" s="17">
        <f>G169*G170/1000</f>
        <v>7882.1675969999997</v>
      </c>
      <c r="H168" s="17"/>
      <c r="I168" s="340"/>
      <c r="J168" s="318"/>
      <c r="K168" s="299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</row>
    <row r="169" spans="1:30" s="5" customFormat="1" ht="25.5">
      <c r="A169" s="57" t="s">
        <v>290</v>
      </c>
      <c r="B169" s="206" t="s">
        <v>291</v>
      </c>
      <c r="C169" s="59" t="s">
        <v>292</v>
      </c>
      <c r="D169" s="75">
        <v>14.12</v>
      </c>
      <c r="E169" s="75">
        <f>'[1]ТЭ 17'!$E$180</f>
        <v>21.700534563547755</v>
      </c>
      <c r="F169" s="75">
        <v>22.837</v>
      </c>
      <c r="G169" s="75">
        <v>23.69</v>
      </c>
      <c r="H169" s="75">
        <v>21.819615220765488</v>
      </c>
      <c r="I169" s="346">
        <v>23.082569349768715</v>
      </c>
      <c r="J169" s="312">
        <f t="shared" ref="J169:J170" si="7">G169-F169</f>
        <v>0.85300000000000153</v>
      </c>
      <c r="K169" s="299" t="s">
        <v>580</v>
      </c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s="5" customFormat="1" ht="30.75" customHeight="1">
      <c r="A170" s="57" t="s">
        <v>293</v>
      </c>
      <c r="B170" s="206" t="s">
        <v>294</v>
      </c>
      <c r="C170" s="59" t="s">
        <v>148</v>
      </c>
      <c r="D170" s="33">
        <v>225434.9</v>
      </c>
      <c r="E170" s="33">
        <v>332721.30031065992</v>
      </c>
      <c r="F170" s="33">
        <v>332721.3</v>
      </c>
      <c r="G170" s="33">
        <f>F170</f>
        <v>332721.3</v>
      </c>
      <c r="H170" s="33">
        <v>332721.30031065992</v>
      </c>
      <c r="I170" s="235">
        <v>332721.30031065992</v>
      </c>
      <c r="J170" s="312">
        <f t="shared" si="7"/>
        <v>0</v>
      </c>
      <c r="K170" s="299" t="s">
        <v>577</v>
      </c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s="5" customFormat="1" ht="15.75" customHeight="1">
      <c r="A171" s="57"/>
      <c r="B171" s="215" t="s">
        <v>572</v>
      </c>
      <c r="C171" s="39" t="s">
        <v>4</v>
      </c>
      <c r="D171" s="33"/>
      <c r="E171" s="33"/>
      <c r="F171" s="17">
        <f>F172*F173/1000</f>
        <v>85.192460000000011</v>
      </c>
      <c r="G171" s="17">
        <f>G172*G173/1000</f>
        <v>89.448943999999983</v>
      </c>
      <c r="H171" s="33"/>
      <c r="I171" s="235"/>
      <c r="J171" s="312"/>
      <c r="K171" s="300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s="5" customFormat="1" ht="63" customHeight="1">
      <c r="A172" s="57"/>
      <c r="B172" s="206" t="s">
        <v>291</v>
      </c>
      <c r="C172" s="59" t="s">
        <v>292</v>
      </c>
      <c r="D172" s="33"/>
      <c r="E172" s="33"/>
      <c r="F172" s="76">
        <v>13.57</v>
      </c>
      <c r="G172" s="33">
        <f>13.7*1.04</f>
        <v>14.247999999999999</v>
      </c>
      <c r="H172" s="33"/>
      <c r="I172" s="235"/>
      <c r="J172" s="312"/>
      <c r="K172" s="300" t="s">
        <v>592</v>
      </c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s="5" customFormat="1" ht="25.5">
      <c r="A173" s="57"/>
      <c r="B173" s="206" t="s">
        <v>294</v>
      </c>
      <c r="C173" s="59" t="s">
        <v>148</v>
      </c>
      <c r="D173" s="33"/>
      <c r="E173" s="33"/>
      <c r="F173" s="33">
        <v>6278</v>
      </c>
      <c r="G173" s="33">
        <f>F173</f>
        <v>6278</v>
      </c>
      <c r="H173" s="33"/>
      <c r="I173" s="235"/>
      <c r="J173" s="312"/>
      <c r="K173" s="300" t="s">
        <v>577</v>
      </c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s="40" customFormat="1" ht="38.25">
      <c r="A174" s="37" t="s">
        <v>40</v>
      </c>
      <c r="B174" s="38" t="s">
        <v>295</v>
      </c>
      <c r="C174" s="39" t="s">
        <v>4</v>
      </c>
      <c r="D174" s="17">
        <f>D175</f>
        <v>127403.94297439999</v>
      </c>
      <c r="E174" s="17">
        <f>E175</f>
        <v>171944.97502068582</v>
      </c>
      <c r="F174" s="17">
        <f>F175</f>
        <v>175545.97689619201</v>
      </c>
      <c r="G174" s="17">
        <f>G175</f>
        <v>182603.17500384798</v>
      </c>
      <c r="H174" s="17">
        <v>184532.69665137905</v>
      </c>
      <c r="I174" s="340">
        <v>197265.45272032419</v>
      </c>
      <c r="J174" s="318">
        <f>G174-F174</f>
        <v>7057.198107655975</v>
      </c>
      <c r="K174" s="287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</row>
    <row r="175" spans="1:30" s="5" customFormat="1">
      <c r="A175" s="57" t="s">
        <v>42</v>
      </c>
      <c r="B175" s="191" t="s">
        <v>101</v>
      </c>
      <c r="C175" s="59" t="s">
        <v>4</v>
      </c>
      <c r="D175" s="15">
        <f>D176*D177/1000</f>
        <v>127403.94297439999</v>
      </c>
      <c r="E175" s="15">
        <f>E176*E177/1000</f>
        <v>171944.97502068582</v>
      </c>
      <c r="F175" s="15">
        <f>F176*F177/1000</f>
        <v>175545.97689619201</v>
      </c>
      <c r="G175" s="15">
        <f>G176*G177/1000</f>
        <v>182603.17500384798</v>
      </c>
      <c r="H175" s="15">
        <v>184532.69665137905</v>
      </c>
      <c r="I175" s="225">
        <v>197265.45272032419</v>
      </c>
      <c r="J175" s="312">
        <f t="shared" ref="J175:J238" si="8">G175-F175</f>
        <v>7057.198107655975</v>
      </c>
      <c r="K175" s="282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s="5" customFormat="1">
      <c r="A176" s="57" t="s">
        <v>44</v>
      </c>
      <c r="B176" s="216" t="s">
        <v>296</v>
      </c>
      <c r="C176" s="59" t="s">
        <v>297</v>
      </c>
      <c r="D176" s="15">
        <f>D81</f>
        <v>87172.22</v>
      </c>
      <c r="E176" s="15">
        <f>'[1]ТЭ 17'!$E$184</f>
        <v>109791.7048292258</v>
      </c>
      <c r="F176" s="15">
        <f>F80</f>
        <v>104092.63116161381</v>
      </c>
      <c r="G176" s="15">
        <f>G80</f>
        <v>104092.63116161381</v>
      </c>
      <c r="H176" s="15">
        <v>108799.00211485015</v>
      </c>
      <c r="I176" s="225">
        <v>108799.00211485015</v>
      </c>
      <c r="J176" s="312">
        <f t="shared" si="8"/>
        <v>0</v>
      </c>
      <c r="K176" s="282" t="s">
        <v>579</v>
      </c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s="5" customFormat="1" ht="51">
      <c r="A177" s="57" t="s">
        <v>47</v>
      </c>
      <c r="B177" s="216" t="s">
        <v>298</v>
      </c>
      <c r="C177" s="59" t="s">
        <v>299</v>
      </c>
      <c r="D177" s="44">
        <v>1461.52</v>
      </c>
      <c r="E177" s="44">
        <f>'[1]ТЭ 17'!$E$185</f>
        <v>1566.1016949152543</v>
      </c>
      <c r="F177" s="44">
        <v>1686.44</v>
      </c>
      <c r="G177" s="44">
        <f>2070/1.18</f>
        <v>1754.2372881355934</v>
      </c>
      <c r="H177" s="44">
        <v>1696.0881355932204</v>
      </c>
      <c r="I177" s="226">
        <v>1813.1182169491526</v>
      </c>
      <c r="J177" s="312">
        <f t="shared" si="8"/>
        <v>67.797288135593362</v>
      </c>
      <c r="K177" s="289" t="s">
        <v>578</v>
      </c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s="5" customFormat="1" hidden="1">
      <c r="A178" s="57" t="s">
        <v>52</v>
      </c>
      <c r="B178" s="192" t="s">
        <v>103</v>
      </c>
      <c r="C178" s="59" t="s">
        <v>4</v>
      </c>
      <c r="D178" s="15">
        <v>0</v>
      </c>
      <c r="E178" s="15">
        <v>0</v>
      </c>
      <c r="F178" s="15">
        <v>0</v>
      </c>
      <c r="G178" s="15">
        <v>0</v>
      </c>
      <c r="H178" s="15">
        <v>0</v>
      </c>
      <c r="I178" s="225">
        <v>0</v>
      </c>
      <c r="J178" s="318">
        <f t="shared" si="8"/>
        <v>0</v>
      </c>
      <c r="K178" s="282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s="5" customFormat="1" hidden="1">
      <c r="A179" s="57"/>
      <c r="B179" s="216" t="s">
        <v>296</v>
      </c>
      <c r="C179" s="59" t="s">
        <v>297</v>
      </c>
      <c r="D179" s="15">
        <v>0</v>
      </c>
      <c r="E179" s="15">
        <v>0</v>
      </c>
      <c r="F179" s="15">
        <v>0</v>
      </c>
      <c r="G179" s="15">
        <v>0</v>
      </c>
      <c r="H179" s="15">
        <v>0</v>
      </c>
      <c r="I179" s="225">
        <v>0</v>
      </c>
      <c r="J179" s="318">
        <f t="shared" si="8"/>
        <v>0</v>
      </c>
      <c r="K179" s="282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s="5" customFormat="1" hidden="1">
      <c r="A180" s="57"/>
      <c r="B180" s="216" t="s">
        <v>298</v>
      </c>
      <c r="C180" s="59" t="s">
        <v>299</v>
      </c>
      <c r="D180" s="29"/>
      <c r="E180" s="29"/>
      <c r="F180" s="29"/>
      <c r="G180" s="29"/>
      <c r="H180" s="29"/>
      <c r="I180" s="337"/>
      <c r="J180" s="318">
        <f t="shared" si="8"/>
        <v>0</v>
      </c>
      <c r="K180" s="282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s="5" customFormat="1" hidden="1">
      <c r="A181" s="57" t="s">
        <v>300</v>
      </c>
      <c r="B181" s="192" t="s">
        <v>105</v>
      </c>
      <c r="C181" s="59" t="s">
        <v>4</v>
      </c>
      <c r="D181" s="15">
        <v>0</v>
      </c>
      <c r="E181" s="15">
        <v>0</v>
      </c>
      <c r="F181" s="15">
        <v>0</v>
      </c>
      <c r="G181" s="15">
        <v>0</v>
      </c>
      <c r="H181" s="15">
        <v>0</v>
      </c>
      <c r="I181" s="225">
        <v>0</v>
      </c>
      <c r="J181" s="318">
        <f t="shared" si="8"/>
        <v>0</v>
      </c>
      <c r="K181" s="282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s="5" customFormat="1" hidden="1">
      <c r="A182" s="57"/>
      <c r="B182" s="216" t="s">
        <v>296</v>
      </c>
      <c r="C182" s="59" t="s">
        <v>297</v>
      </c>
      <c r="D182" s="15">
        <v>0</v>
      </c>
      <c r="E182" s="15">
        <v>0</v>
      </c>
      <c r="F182" s="15">
        <v>0</v>
      </c>
      <c r="G182" s="15">
        <v>0</v>
      </c>
      <c r="H182" s="15">
        <v>0</v>
      </c>
      <c r="I182" s="225">
        <v>0</v>
      </c>
      <c r="J182" s="318">
        <f t="shared" si="8"/>
        <v>0</v>
      </c>
      <c r="K182" s="282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s="5" customFormat="1" hidden="1">
      <c r="A183" s="57"/>
      <c r="B183" s="216" t="s">
        <v>298</v>
      </c>
      <c r="C183" s="59" t="s">
        <v>299</v>
      </c>
      <c r="D183" s="29"/>
      <c r="E183" s="29"/>
      <c r="F183" s="29"/>
      <c r="G183" s="29"/>
      <c r="H183" s="29"/>
      <c r="I183" s="337"/>
      <c r="J183" s="318">
        <f t="shared" si="8"/>
        <v>0</v>
      </c>
      <c r="K183" s="282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s="5" customFormat="1" hidden="1">
      <c r="A184" s="57" t="s">
        <v>301</v>
      </c>
      <c r="B184" s="192" t="s">
        <v>107</v>
      </c>
      <c r="C184" s="59" t="s">
        <v>4</v>
      </c>
      <c r="D184" s="15">
        <v>0</v>
      </c>
      <c r="E184" s="15">
        <v>0</v>
      </c>
      <c r="F184" s="15">
        <v>0</v>
      </c>
      <c r="G184" s="15">
        <v>0</v>
      </c>
      <c r="H184" s="15">
        <v>0</v>
      </c>
      <c r="I184" s="225">
        <v>0</v>
      </c>
      <c r="J184" s="318">
        <f t="shared" si="8"/>
        <v>0</v>
      </c>
      <c r="K184" s="282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s="5" customFormat="1" hidden="1">
      <c r="A185" s="57"/>
      <c r="B185" s="216" t="s">
        <v>296</v>
      </c>
      <c r="C185" s="59" t="s">
        <v>297</v>
      </c>
      <c r="D185" s="15">
        <v>0</v>
      </c>
      <c r="E185" s="15">
        <v>0</v>
      </c>
      <c r="F185" s="15">
        <v>0</v>
      </c>
      <c r="G185" s="15">
        <v>0</v>
      </c>
      <c r="H185" s="15">
        <v>0</v>
      </c>
      <c r="I185" s="225">
        <v>0</v>
      </c>
      <c r="J185" s="318">
        <f t="shared" si="8"/>
        <v>0</v>
      </c>
      <c r="K185" s="282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s="5" customFormat="1" hidden="1">
      <c r="A186" s="57"/>
      <c r="B186" s="216" t="s">
        <v>298</v>
      </c>
      <c r="C186" s="59" t="s">
        <v>299</v>
      </c>
      <c r="D186" s="29"/>
      <c r="E186" s="29"/>
      <c r="F186" s="29"/>
      <c r="G186" s="29"/>
      <c r="H186" s="29"/>
      <c r="I186" s="337"/>
      <c r="J186" s="318">
        <f t="shared" si="8"/>
        <v>0</v>
      </c>
      <c r="K186" s="282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s="5" customFormat="1" hidden="1">
      <c r="A187" s="57" t="s">
        <v>302</v>
      </c>
      <c r="B187" s="192" t="s">
        <v>109</v>
      </c>
      <c r="C187" s="59" t="s">
        <v>4</v>
      </c>
      <c r="D187" s="15">
        <v>0</v>
      </c>
      <c r="E187" s="15">
        <v>0</v>
      </c>
      <c r="F187" s="15">
        <v>0</v>
      </c>
      <c r="G187" s="15">
        <v>0</v>
      </c>
      <c r="H187" s="15">
        <v>0</v>
      </c>
      <c r="I187" s="225">
        <v>0</v>
      </c>
      <c r="J187" s="318">
        <f t="shared" si="8"/>
        <v>0</v>
      </c>
      <c r="K187" s="282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s="5" customFormat="1" ht="15.75" hidden="1">
      <c r="A188" s="57"/>
      <c r="B188" s="216" t="s">
        <v>296</v>
      </c>
      <c r="C188" s="59" t="s">
        <v>145</v>
      </c>
      <c r="D188" s="15">
        <v>0</v>
      </c>
      <c r="E188" s="15">
        <v>0</v>
      </c>
      <c r="F188" s="15">
        <v>0</v>
      </c>
      <c r="G188" s="15">
        <v>0</v>
      </c>
      <c r="H188" s="15">
        <v>0</v>
      </c>
      <c r="I188" s="225">
        <v>0</v>
      </c>
      <c r="J188" s="318">
        <f t="shared" si="8"/>
        <v>0</v>
      </c>
      <c r="K188" s="282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s="5" customFormat="1" ht="15.75" hidden="1">
      <c r="A189" s="57"/>
      <c r="B189" s="216" t="s">
        <v>298</v>
      </c>
      <c r="C189" s="59" t="s">
        <v>303</v>
      </c>
      <c r="D189" s="29"/>
      <c r="E189" s="29"/>
      <c r="F189" s="29"/>
      <c r="G189" s="29"/>
      <c r="H189" s="29"/>
      <c r="I189" s="337"/>
      <c r="J189" s="318">
        <f t="shared" si="8"/>
        <v>0</v>
      </c>
      <c r="K189" s="282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s="5" customFormat="1" hidden="1">
      <c r="A190" s="57" t="s">
        <v>304</v>
      </c>
      <c r="B190" s="192" t="s">
        <v>111</v>
      </c>
      <c r="C190" s="59" t="s">
        <v>4</v>
      </c>
      <c r="D190" s="15">
        <v>0</v>
      </c>
      <c r="E190" s="15">
        <v>0</v>
      </c>
      <c r="F190" s="15">
        <v>0</v>
      </c>
      <c r="G190" s="15">
        <v>0</v>
      </c>
      <c r="H190" s="15">
        <v>0</v>
      </c>
      <c r="I190" s="225">
        <v>0</v>
      </c>
      <c r="J190" s="318">
        <f t="shared" si="8"/>
        <v>0</v>
      </c>
      <c r="K190" s="282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s="5" customFormat="1" hidden="1">
      <c r="A191" s="57"/>
      <c r="B191" s="216" t="s">
        <v>296</v>
      </c>
      <c r="C191" s="59" t="s">
        <v>297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225">
        <v>0</v>
      </c>
      <c r="J191" s="318">
        <f t="shared" si="8"/>
        <v>0</v>
      </c>
      <c r="K191" s="282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s="5" customFormat="1" hidden="1">
      <c r="A192" s="57"/>
      <c r="B192" s="216" t="s">
        <v>298</v>
      </c>
      <c r="C192" s="59" t="s">
        <v>299</v>
      </c>
      <c r="D192" s="29"/>
      <c r="E192" s="29"/>
      <c r="F192" s="29"/>
      <c r="G192" s="29"/>
      <c r="H192" s="29"/>
      <c r="I192" s="337"/>
      <c r="J192" s="318">
        <f t="shared" si="8"/>
        <v>0</v>
      </c>
      <c r="K192" s="282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s="5" customFormat="1" hidden="1">
      <c r="A193" s="57" t="s">
        <v>305</v>
      </c>
      <c r="B193" s="192" t="s">
        <v>113</v>
      </c>
      <c r="C193" s="59" t="s">
        <v>4</v>
      </c>
      <c r="D193" s="15">
        <v>0</v>
      </c>
      <c r="E193" s="15">
        <v>0</v>
      </c>
      <c r="F193" s="15">
        <v>0</v>
      </c>
      <c r="G193" s="15">
        <v>0</v>
      </c>
      <c r="H193" s="15">
        <v>0</v>
      </c>
      <c r="I193" s="225">
        <v>0</v>
      </c>
      <c r="J193" s="318">
        <f t="shared" si="8"/>
        <v>0</v>
      </c>
      <c r="K193" s="282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s="5" customFormat="1" ht="15.75" hidden="1">
      <c r="A194" s="57"/>
      <c r="B194" s="216" t="s">
        <v>296</v>
      </c>
      <c r="C194" s="59" t="s">
        <v>148</v>
      </c>
      <c r="D194" s="15">
        <v>0</v>
      </c>
      <c r="E194" s="15">
        <v>0</v>
      </c>
      <c r="F194" s="15">
        <v>0</v>
      </c>
      <c r="G194" s="15">
        <v>0</v>
      </c>
      <c r="H194" s="15">
        <v>0</v>
      </c>
      <c r="I194" s="225">
        <v>0</v>
      </c>
      <c r="J194" s="318">
        <f t="shared" si="8"/>
        <v>0</v>
      </c>
      <c r="K194" s="282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s="5" customFormat="1" ht="15.75" hidden="1">
      <c r="A195" s="57"/>
      <c r="B195" s="216" t="s">
        <v>298</v>
      </c>
      <c r="C195" s="59" t="s">
        <v>292</v>
      </c>
      <c r="D195" s="29"/>
      <c r="E195" s="29"/>
      <c r="F195" s="29"/>
      <c r="G195" s="29"/>
      <c r="H195" s="29"/>
      <c r="I195" s="337"/>
      <c r="J195" s="318">
        <f t="shared" si="8"/>
        <v>0</v>
      </c>
      <c r="K195" s="282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s="5" customFormat="1" hidden="1">
      <c r="A196" s="57" t="s">
        <v>290</v>
      </c>
      <c r="B196" s="192" t="s">
        <v>114</v>
      </c>
      <c r="C196" s="59" t="s">
        <v>4</v>
      </c>
      <c r="D196" s="15">
        <v>0</v>
      </c>
      <c r="E196" s="15">
        <v>0</v>
      </c>
      <c r="F196" s="15">
        <v>0</v>
      </c>
      <c r="G196" s="15">
        <v>0</v>
      </c>
      <c r="H196" s="15">
        <v>0</v>
      </c>
      <c r="I196" s="225">
        <v>0</v>
      </c>
      <c r="J196" s="318">
        <f t="shared" si="8"/>
        <v>0</v>
      </c>
      <c r="K196" s="282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s="5" customFormat="1" hidden="1">
      <c r="A197" s="57" t="s">
        <v>306</v>
      </c>
      <c r="B197" s="216" t="s">
        <v>296</v>
      </c>
      <c r="C197" s="59" t="s">
        <v>307</v>
      </c>
      <c r="D197" s="15">
        <v>0</v>
      </c>
      <c r="E197" s="15">
        <v>0</v>
      </c>
      <c r="F197" s="15">
        <v>0</v>
      </c>
      <c r="G197" s="15">
        <v>0</v>
      </c>
      <c r="H197" s="15">
        <v>0</v>
      </c>
      <c r="I197" s="225">
        <v>0</v>
      </c>
      <c r="J197" s="318">
        <f t="shared" si="8"/>
        <v>0</v>
      </c>
      <c r="K197" s="282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s="5" customFormat="1" hidden="1">
      <c r="A198" s="57" t="s">
        <v>308</v>
      </c>
      <c r="B198" s="216" t="s">
        <v>298</v>
      </c>
      <c r="C198" s="59" t="s">
        <v>309</v>
      </c>
      <c r="D198" s="29"/>
      <c r="E198" s="29"/>
      <c r="F198" s="29">
        <v>0</v>
      </c>
      <c r="G198" s="29"/>
      <c r="H198" s="29">
        <v>0</v>
      </c>
      <c r="I198" s="337">
        <v>0</v>
      </c>
      <c r="J198" s="318">
        <f t="shared" si="8"/>
        <v>0</v>
      </c>
      <c r="K198" s="282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s="5" customFormat="1" hidden="1">
      <c r="A199" s="57" t="s">
        <v>310</v>
      </c>
      <c r="B199" s="192" t="s">
        <v>116</v>
      </c>
      <c r="C199" s="59" t="s">
        <v>4</v>
      </c>
      <c r="D199" s="15">
        <v>0</v>
      </c>
      <c r="E199" s="15">
        <v>0</v>
      </c>
      <c r="F199" s="15">
        <v>0</v>
      </c>
      <c r="G199" s="15">
        <v>0</v>
      </c>
      <c r="H199" s="15">
        <v>0</v>
      </c>
      <c r="I199" s="225">
        <v>0</v>
      </c>
      <c r="J199" s="318">
        <f t="shared" si="8"/>
        <v>0</v>
      </c>
      <c r="K199" s="282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s="5" customFormat="1" hidden="1">
      <c r="A200" s="57"/>
      <c r="B200" s="216" t="s">
        <v>296</v>
      </c>
      <c r="C200" s="59" t="s">
        <v>297</v>
      </c>
      <c r="D200" s="15">
        <v>0</v>
      </c>
      <c r="E200" s="15">
        <v>0</v>
      </c>
      <c r="F200" s="15">
        <v>0</v>
      </c>
      <c r="G200" s="15">
        <v>0</v>
      </c>
      <c r="H200" s="15">
        <v>0</v>
      </c>
      <c r="I200" s="225">
        <v>0</v>
      </c>
      <c r="J200" s="318">
        <f t="shared" si="8"/>
        <v>0</v>
      </c>
      <c r="K200" s="282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s="5" customFormat="1" hidden="1">
      <c r="A201" s="57"/>
      <c r="B201" s="216" t="s">
        <v>298</v>
      </c>
      <c r="C201" s="59" t="s">
        <v>299</v>
      </c>
      <c r="D201" s="29"/>
      <c r="E201" s="29"/>
      <c r="F201" s="29"/>
      <c r="G201" s="29"/>
      <c r="H201" s="29"/>
      <c r="I201" s="337"/>
      <c r="J201" s="318">
        <f t="shared" si="8"/>
        <v>0</v>
      </c>
      <c r="K201" s="282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s="5" customFormat="1" hidden="1">
      <c r="A202" s="57" t="s">
        <v>293</v>
      </c>
      <c r="B202" s="205" t="s">
        <v>15</v>
      </c>
      <c r="C202" s="59" t="s">
        <v>4</v>
      </c>
      <c r="D202" s="15"/>
      <c r="E202" s="15"/>
      <c r="F202" s="15"/>
      <c r="G202" s="15"/>
      <c r="H202" s="15"/>
      <c r="I202" s="225"/>
      <c r="J202" s="318">
        <f t="shared" si="8"/>
        <v>0</v>
      </c>
      <c r="K202" s="282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s="5" customFormat="1" hidden="1">
      <c r="A203" s="57" t="s">
        <v>311</v>
      </c>
      <c r="B203" s="216" t="s">
        <v>312</v>
      </c>
      <c r="C203" s="59" t="s">
        <v>313</v>
      </c>
      <c r="D203" s="33"/>
      <c r="E203" s="33"/>
      <c r="F203" s="33">
        <v>0</v>
      </c>
      <c r="G203" s="33"/>
      <c r="H203" s="33">
        <v>0</v>
      </c>
      <c r="I203" s="235">
        <v>0</v>
      </c>
      <c r="J203" s="318">
        <f t="shared" si="8"/>
        <v>0</v>
      </c>
      <c r="K203" s="282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s="5" customFormat="1" ht="25.5" hidden="1">
      <c r="A204" s="57" t="s">
        <v>314</v>
      </c>
      <c r="B204" s="216" t="s">
        <v>298</v>
      </c>
      <c r="C204" s="59" t="s">
        <v>315</v>
      </c>
      <c r="D204" s="76"/>
      <c r="E204" s="76"/>
      <c r="F204" s="76" t="s">
        <v>12</v>
      </c>
      <c r="G204" s="76"/>
      <c r="H204" s="76" t="s">
        <v>12</v>
      </c>
      <c r="I204" s="347" t="s">
        <v>12</v>
      </c>
      <c r="J204" s="318" t="e">
        <f t="shared" si="8"/>
        <v>#VALUE!</v>
      </c>
      <c r="K204" s="282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s="13" customFormat="1" ht="12.75" customHeight="1">
      <c r="A205" s="37" t="s">
        <v>64</v>
      </c>
      <c r="B205" s="38" t="s">
        <v>316</v>
      </c>
      <c r="C205" s="39" t="s">
        <v>4</v>
      </c>
      <c r="D205" s="17">
        <f>D212</f>
        <v>19727.775405524</v>
      </c>
      <c r="E205" s="17">
        <f>E212</f>
        <v>22839.238915641585</v>
      </c>
      <c r="F205" s="17">
        <f>F212</f>
        <v>24762.716764582387</v>
      </c>
      <c r="G205" s="17">
        <f>G212</f>
        <v>26124.666186634415</v>
      </c>
      <c r="H205" s="17">
        <v>20746.134425330194</v>
      </c>
      <c r="I205" s="340">
        <v>22385.079044931281</v>
      </c>
      <c r="J205" s="318">
        <f t="shared" si="8"/>
        <v>1361.9494220520282</v>
      </c>
      <c r="K205" s="301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</row>
    <row r="206" spans="1:30" s="5" customFormat="1" ht="12.75" hidden="1" customHeight="1">
      <c r="A206" s="189" t="s">
        <v>66</v>
      </c>
      <c r="B206" s="180" t="s">
        <v>317</v>
      </c>
      <c r="C206" s="59" t="s">
        <v>4</v>
      </c>
      <c r="D206" s="15">
        <v>0</v>
      </c>
      <c r="E206" s="15">
        <v>0</v>
      </c>
      <c r="F206" s="15">
        <v>0</v>
      </c>
      <c r="G206" s="15">
        <v>0</v>
      </c>
      <c r="H206" s="15">
        <v>0</v>
      </c>
      <c r="I206" s="225">
        <v>0</v>
      </c>
      <c r="J206" s="318">
        <f t="shared" si="8"/>
        <v>0</v>
      </c>
      <c r="K206" s="299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s="5" customFormat="1" ht="12.75" hidden="1" customHeight="1">
      <c r="A207" s="189" t="s">
        <v>318</v>
      </c>
      <c r="B207" s="217" t="s">
        <v>319</v>
      </c>
      <c r="C207" s="59" t="s">
        <v>2</v>
      </c>
      <c r="D207" s="29"/>
      <c r="E207" s="29"/>
      <c r="F207" s="29"/>
      <c r="G207" s="29"/>
      <c r="H207" s="29"/>
      <c r="I207" s="337"/>
      <c r="J207" s="318">
        <f t="shared" si="8"/>
        <v>0</v>
      </c>
      <c r="K207" s="299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s="5" customFormat="1" ht="12.75" hidden="1" customHeight="1">
      <c r="A208" s="189" t="s">
        <v>320</v>
      </c>
      <c r="B208" s="217" t="s">
        <v>321</v>
      </c>
      <c r="C208" s="59" t="s">
        <v>322</v>
      </c>
      <c r="D208" s="29"/>
      <c r="E208" s="29"/>
      <c r="F208" s="29"/>
      <c r="G208" s="29"/>
      <c r="H208" s="29"/>
      <c r="I208" s="337"/>
      <c r="J208" s="318">
        <f t="shared" si="8"/>
        <v>0</v>
      </c>
      <c r="K208" s="299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s="5" customFormat="1" ht="25.5" hidden="1" customHeight="1">
      <c r="A209" s="189" t="s">
        <v>68</v>
      </c>
      <c r="B209" s="180" t="s">
        <v>323</v>
      </c>
      <c r="C209" s="59" t="s">
        <v>4</v>
      </c>
      <c r="D209" s="15">
        <v>0</v>
      </c>
      <c r="E209" s="15">
        <v>0</v>
      </c>
      <c r="F209" s="15">
        <v>0</v>
      </c>
      <c r="G209" s="15">
        <v>0</v>
      </c>
      <c r="H209" s="15">
        <v>0</v>
      </c>
      <c r="I209" s="225">
        <v>0</v>
      </c>
      <c r="J209" s="318">
        <f t="shared" si="8"/>
        <v>0</v>
      </c>
      <c r="K209" s="299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s="5" customFormat="1" ht="12.75" hidden="1" customHeight="1">
      <c r="A210" s="189" t="s">
        <v>324</v>
      </c>
      <c r="B210" s="217" t="s">
        <v>319</v>
      </c>
      <c r="C210" s="59" t="s">
        <v>2</v>
      </c>
      <c r="D210" s="29"/>
      <c r="E210" s="29"/>
      <c r="F210" s="29"/>
      <c r="G210" s="29"/>
      <c r="H210" s="29"/>
      <c r="I210" s="337"/>
      <c r="J210" s="318">
        <f t="shared" si="8"/>
        <v>0</v>
      </c>
      <c r="K210" s="299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s="5" customFormat="1" ht="12.75" hidden="1" customHeight="1">
      <c r="A211" s="189" t="s">
        <v>325</v>
      </c>
      <c r="B211" s="217" t="s">
        <v>321</v>
      </c>
      <c r="C211" s="59" t="s">
        <v>322</v>
      </c>
      <c r="D211" s="29"/>
      <c r="E211" s="29"/>
      <c r="F211" s="29"/>
      <c r="G211" s="29"/>
      <c r="H211" s="29"/>
      <c r="I211" s="337"/>
      <c r="J211" s="318">
        <f t="shared" si="8"/>
        <v>0</v>
      </c>
      <c r="K211" s="299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s="5" customFormat="1" ht="25.5" customHeight="1">
      <c r="A212" s="189" t="s">
        <v>66</v>
      </c>
      <c r="B212" s="180" t="s">
        <v>326</v>
      </c>
      <c r="C212" s="59" t="s">
        <v>4</v>
      </c>
      <c r="D212" s="15">
        <f>D213+D228</f>
        <v>19727.775405524</v>
      </c>
      <c r="E212" s="15">
        <f>'[1]ТЭ 17'!$E$220</f>
        <v>22839.238915641585</v>
      </c>
      <c r="F212" s="15">
        <f>F213+F228</f>
        <v>24762.716764582387</v>
      </c>
      <c r="G212" s="15">
        <f>G213+G228</f>
        <v>26124.666186634415</v>
      </c>
      <c r="H212" s="15">
        <v>20746.134425330194</v>
      </c>
      <c r="I212" s="225">
        <v>22385.079044931281</v>
      </c>
      <c r="J212" s="312">
        <f t="shared" si="8"/>
        <v>1361.9494220520282</v>
      </c>
      <c r="K212" s="299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s="5" customFormat="1" ht="12.75" hidden="1" customHeight="1">
      <c r="A213" s="189" t="s">
        <v>318</v>
      </c>
      <c r="B213" s="218" t="s">
        <v>327</v>
      </c>
      <c r="C213" s="59" t="s">
        <v>4</v>
      </c>
      <c r="D213" s="15">
        <f>(D215*1000*D214)/1000+(D216*D217)/1000</f>
        <v>4382.4319474040003</v>
      </c>
      <c r="E213" s="15"/>
      <c r="F213" s="15"/>
      <c r="G213" s="15">
        <f>(G215*1000*G214)/1000+(G216*G217)/1000</f>
        <v>0</v>
      </c>
      <c r="H213" s="15">
        <v>4013.2581896196721</v>
      </c>
      <c r="I213" s="225">
        <v>4330.3055865996257</v>
      </c>
      <c r="J213" s="312">
        <f t="shared" si="8"/>
        <v>0</v>
      </c>
      <c r="K213" s="299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s="43" customFormat="1" ht="22.5" hidden="1" customHeight="1">
      <c r="A214" s="219" t="s">
        <v>328</v>
      </c>
      <c r="B214" s="220" t="s">
        <v>329</v>
      </c>
      <c r="C214" s="59" t="s">
        <v>330</v>
      </c>
      <c r="D214" s="41">
        <v>1.2780830000000001</v>
      </c>
      <c r="E214" s="41"/>
      <c r="F214" s="41"/>
      <c r="G214" s="41">
        <v>0</v>
      </c>
      <c r="H214" s="41"/>
      <c r="I214" s="348" t="e">
        <v>#VALUE!</v>
      </c>
      <c r="J214" s="312"/>
      <c r="K214" s="299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s="43" customFormat="1" ht="22.5" hidden="1" customHeight="1">
      <c r="A215" s="219" t="s">
        <v>331</v>
      </c>
      <c r="B215" s="220" t="s">
        <v>312</v>
      </c>
      <c r="C215" s="59" t="s">
        <v>313</v>
      </c>
      <c r="D215" s="41">
        <v>2334.2199999999998</v>
      </c>
      <c r="E215" s="41"/>
      <c r="F215" s="41" t="s">
        <v>12</v>
      </c>
      <c r="G215" s="41">
        <f>E215</f>
        <v>0</v>
      </c>
      <c r="H215" s="41" t="s">
        <v>12</v>
      </c>
      <c r="I215" s="348" t="s">
        <v>12</v>
      </c>
      <c r="J215" s="312"/>
      <c r="K215" s="299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s="43" customFormat="1" ht="12.75" hidden="1" customHeight="1">
      <c r="A216" s="219"/>
      <c r="B216" s="220" t="s">
        <v>332</v>
      </c>
      <c r="C216" s="221" t="s">
        <v>330</v>
      </c>
      <c r="D216" s="41">
        <v>429.30501600000002</v>
      </c>
      <c r="E216" s="41"/>
      <c r="F216" s="41"/>
      <c r="G216" s="41"/>
      <c r="H216" s="41"/>
      <c r="I216" s="348"/>
      <c r="J216" s="312"/>
      <c r="K216" s="299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s="43" customFormat="1" ht="12.75" hidden="1" customHeight="1">
      <c r="A217" s="219"/>
      <c r="B217" s="220" t="s">
        <v>333</v>
      </c>
      <c r="C217" s="59" t="s">
        <v>334</v>
      </c>
      <c r="D217" s="41">
        <v>3259</v>
      </c>
      <c r="E217" s="41"/>
      <c r="F217" s="41"/>
      <c r="G217" s="41">
        <f>E217</f>
        <v>0</v>
      </c>
      <c r="H217" s="41"/>
      <c r="I217" s="348"/>
      <c r="J217" s="312"/>
      <c r="K217" s="299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s="5" customFormat="1" ht="12.75" hidden="1" customHeight="1">
      <c r="A218" s="222" t="s">
        <v>318</v>
      </c>
      <c r="B218" s="218" t="s">
        <v>335</v>
      </c>
      <c r="C218" s="59" t="s">
        <v>4</v>
      </c>
      <c r="D218" s="15">
        <v>0</v>
      </c>
      <c r="E218" s="15"/>
      <c r="F218" s="15">
        <v>0</v>
      </c>
      <c r="G218" s="15">
        <v>0</v>
      </c>
      <c r="H218" s="15">
        <v>0</v>
      </c>
      <c r="I218" s="225">
        <v>0</v>
      </c>
      <c r="J218" s="312"/>
      <c r="K218" s="299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s="43" customFormat="1" ht="22.5" hidden="1" customHeight="1">
      <c r="A219" s="219" t="s">
        <v>328</v>
      </c>
      <c r="B219" s="220" t="s">
        <v>329</v>
      </c>
      <c r="C219" s="221" t="s">
        <v>330</v>
      </c>
      <c r="D219" s="41">
        <v>0</v>
      </c>
      <c r="E219" s="41"/>
      <c r="F219" s="41">
        <v>0</v>
      </c>
      <c r="G219" s="41">
        <v>0</v>
      </c>
      <c r="H219" s="41">
        <v>0</v>
      </c>
      <c r="I219" s="348">
        <v>0</v>
      </c>
      <c r="J219" s="312"/>
      <c r="K219" s="299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s="43" customFormat="1" ht="22.5" hidden="1" customHeight="1">
      <c r="A220" s="219" t="s">
        <v>331</v>
      </c>
      <c r="B220" s="220" t="s">
        <v>312</v>
      </c>
      <c r="C220" s="221" t="s">
        <v>313</v>
      </c>
      <c r="D220" s="41">
        <v>0</v>
      </c>
      <c r="E220" s="41"/>
      <c r="F220" s="41">
        <v>0</v>
      </c>
      <c r="G220" s="41">
        <v>0</v>
      </c>
      <c r="H220" s="41">
        <v>0</v>
      </c>
      <c r="I220" s="348">
        <v>0</v>
      </c>
      <c r="J220" s="312"/>
      <c r="K220" s="299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s="43" customFormat="1" ht="12.75" hidden="1" customHeight="1">
      <c r="A221" s="219"/>
      <c r="B221" s="220" t="s">
        <v>332</v>
      </c>
      <c r="C221" s="59" t="s">
        <v>330</v>
      </c>
      <c r="D221" s="41"/>
      <c r="E221" s="41"/>
      <c r="F221" s="41"/>
      <c r="G221" s="41"/>
      <c r="H221" s="41"/>
      <c r="I221" s="348"/>
      <c r="J221" s="312"/>
      <c r="K221" s="299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s="43" customFormat="1" ht="12.75" hidden="1" customHeight="1">
      <c r="A222" s="219"/>
      <c r="B222" s="220" t="s">
        <v>333</v>
      </c>
      <c r="C222" s="59" t="s">
        <v>334</v>
      </c>
      <c r="D222" s="41"/>
      <c r="E222" s="41"/>
      <c r="F222" s="41"/>
      <c r="G222" s="41"/>
      <c r="H222" s="41"/>
      <c r="I222" s="348"/>
      <c r="J222" s="312"/>
      <c r="K222" s="299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s="5" customFormat="1" ht="12.75" hidden="1" customHeight="1">
      <c r="A223" s="222" t="s">
        <v>336</v>
      </c>
      <c r="B223" s="218" t="s">
        <v>337</v>
      </c>
      <c r="C223" s="59" t="s">
        <v>4</v>
      </c>
      <c r="D223" s="15">
        <v>0</v>
      </c>
      <c r="E223" s="15"/>
      <c r="F223" s="15">
        <v>0</v>
      </c>
      <c r="G223" s="15">
        <v>0</v>
      </c>
      <c r="H223" s="15">
        <v>0</v>
      </c>
      <c r="I223" s="225">
        <v>0</v>
      </c>
      <c r="J223" s="312">
        <f t="shared" si="8"/>
        <v>0</v>
      </c>
      <c r="K223" s="299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s="5" customFormat="1" ht="22.5" hidden="1" customHeight="1">
      <c r="A224" s="222" t="s">
        <v>338</v>
      </c>
      <c r="B224" s="223" t="s">
        <v>329</v>
      </c>
      <c r="C224" s="59" t="s">
        <v>330</v>
      </c>
      <c r="D224" s="44"/>
      <c r="E224" s="44"/>
      <c r="F224" s="44"/>
      <c r="G224" s="44"/>
      <c r="H224" s="44"/>
      <c r="I224" s="226"/>
      <c r="J224" s="312">
        <f t="shared" si="8"/>
        <v>0</v>
      </c>
      <c r="K224" s="299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s="5" customFormat="1" ht="22.5" hidden="1" customHeight="1">
      <c r="A225" s="222" t="s">
        <v>339</v>
      </c>
      <c r="B225" s="223" t="s">
        <v>312</v>
      </c>
      <c r="C225" s="59" t="s">
        <v>313</v>
      </c>
      <c r="D225" s="44">
        <v>0</v>
      </c>
      <c r="E225" s="44"/>
      <c r="F225" s="44"/>
      <c r="G225" s="44">
        <v>0</v>
      </c>
      <c r="H225" s="44"/>
      <c r="I225" s="226"/>
      <c r="J225" s="312">
        <f t="shared" si="8"/>
        <v>0</v>
      </c>
      <c r="K225" s="299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s="5" customFormat="1" ht="12.75" hidden="1" customHeight="1">
      <c r="A226" s="222"/>
      <c r="B226" s="223"/>
      <c r="C226" s="59"/>
      <c r="D226" s="44"/>
      <c r="E226" s="44"/>
      <c r="F226" s="44"/>
      <c r="G226" s="44"/>
      <c r="H226" s="44"/>
      <c r="I226" s="226"/>
      <c r="J226" s="312">
        <f t="shared" si="8"/>
        <v>0</v>
      </c>
      <c r="K226" s="299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s="5" customFormat="1" ht="12.75" hidden="1" customHeight="1">
      <c r="A227" s="222"/>
      <c r="B227" s="223"/>
      <c r="C227" s="59"/>
      <c r="D227" s="44"/>
      <c r="E227" s="44"/>
      <c r="F227" s="44"/>
      <c r="G227" s="44"/>
      <c r="H227" s="44"/>
      <c r="I227" s="226"/>
      <c r="J227" s="312">
        <f t="shared" si="8"/>
        <v>0</v>
      </c>
      <c r="K227" s="299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s="5" customFormat="1" ht="12.75" customHeight="1">
      <c r="A228" s="222" t="s">
        <v>340</v>
      </c>
      <c r="B228" s="218" t="s">
        <v>341</v>
      </c>
      <c r="C228" s="59" t="s">
        <v>4</v>
      </c>
      <c r="D228" s="15">
        <f>(D230*1000*D229)/1000+(D231*D232)/1000</f>
        <v>15345.343458119998</v>
      </c>
      <c r="E228" s="15"/>
      <c r="F228" s="15">
        <f>(F230*1000*F229)/1000+(F231*F232)/1000</f>
        <v>24762.716764582387</v>
      </c>
      <c r="G228" s="15">
        <f>(G230*1000*G229)/1000+(G231*G232)/1000</f>
        <v>26124.666186634415</v>
      </c>
      <c r="H228" s="15">
        <v>16732.876235710522</v>
      </c>
      <c r="I228" s="225">
        <v>18054.773458331656</v>
      </c>
      <c r="J228" s="312">
        <f t="shared" si="8"/>
        <v>1361.9494220520282</v>
      </c>
      <c r="K228" s="299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s="43" customFormat="1" ht="51" customHeight="1">
      <c r="A229" s="219" t="s">
        <v>342</v>
      </c>
      <c r="B229" s="220" t="s">
        <v>329</v>
      </c>
      <c r="C229" s="221" t="s">
        <v>330</v>
      </c>
      <c r="D229" s="41">
        <v>1.32595</v>
      </c>
      <c r="E229" s="41"/>
      <c r="F229" s="41">
        <v>1.43268873247909</v>
      </c>
      <c r="G229" s="41">
        <f>F229*1.055</f>
        <v>1.5114866127654398</v>
      </c>
      <c r="H229" s="41"/>
      <c r="I229" s="348"/>
      <c r="J229" s="318"/>
      <c r="K229" s="302" t="s">
        <v>581</v>
      </c>
      <c r="L229" s="2"/>
      <c r="M229" s="362"/>
      <c r="N229" s="36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s="43" customFormat="1" ht="35.25" customHeight="1">
      <c r="A230" s="219" t="s">
        <v>343</v>
      </c>
      <c r="B230" s="220" t="s">
        <v>312</v>
      </c>
      <c r="C230" s="221" t="s">
        <v>313</v>
      </c>
      <c r="D230" s="41">
        <v>7864.94</v>
      </c>
      <c r="E230" s="41">
        <f>9288.3264+2256.16</f>
        <v>11544.4864</v>
      </c>
      <c r="F230" s="41">
        <v>11077.034</v>
      </c>
      <c r="G230" s="41">
        <f>F230</f>
        <v>11077.034</v>
      </c>
      <c r="H230" s="41"/>
      <c r="I230" s="348"/>
      <c r="J230" s="318"/>
      <c r="K230" s="303" t="s">
        <v>577</v>
      </c>
      <c r="L230" s="168"/>
      <c r="M230" s="171"/>
      <c r="N230" s="170"/>
      <c r="O230" s="169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s="43" customFormat="1" ht="44.25" customHeight="1">
      <c r="A231" s="224"/>
      <c r="B231" s="220" t="s">
        <v>332</v>
      </c>
      <c r="C231" s="59" t="s">
        <v>330</v>
      </c>
      <c r="D231" s="41">
        <v>453.79107199999999</v>
      </c>
      <c r="E231" s="41"/>
      <c r="F231" s="41">
        <v>582.94165607961997</v>
      </c>
      <c r="G231" s="41">
        <f>F231*1.055</f>
        <v>615.003447163999</v>
      </c>
      <c r="H231" s="41"/>
      <c r="I231" s="348"/>
      <c r="J231" s="318"/>
      <c r="K231" s="302" t="s">
        <v>581</v>
      </c>
      <c r="L231" s="168"/>
      <c r="M231" s="171"/>
      <c r="N231" s="170"/>
      <c r="O231" s="169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s="43" customFormat="1" ht="25.5">
      <c r="A232" s="224"/>
      <c r="B232" s="220" t="s">
        <v>333</v>
      </c>
      <c r="C232" s="59" t="s">
        <v>334</v>
      </c>
      <c r="D232" s="41">
        <v>10835</v>
      </c>
      <c r="E232" s="41">
        <f>12963+3094</f>
        <v>16057</v>
      </c>
      <c r="F232" s="41">
        <v>15255</v>
      </c>
      <c r="G232" s="41">
        <f>F232</f>
        <v>15255</v>
      </c>
      <c r="H232" s="41"/>
      <c r="I232" s="348"/>
      <c r="J232" s="318"/>
      <c r="K232" s="304" t="s">
        <v>577</v>
      </c>
      <c r="L232" s="168"/>
      <c r="M232" s="171"/>
      <c r="N232" s="170"/>
      <c r="O232" s="169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s="5" customFormat="1" hidden="1">
      <c r="A233" s="189" t="s">
        <v>70</v>
      </c>
      <c r="B233" s="179" t="s">
        <v>344</v>
      </c>
      <c r="C233" s="59" t="s">
        <v>4</v>
      </c>
      <c r="D233" s="15">
        <v>0</v>
      </c>
      <c r="E233" s="15">
        <v>0</v>
      </c>
      <c r="F233" s="15">
        <v>0</v>
      </c>
      <c r="G233" s="15">
        <v>0</v>
      </c>
      <c r="H233" s="15">
        <v>0</v>
      </c>
      <c r="I233" s="225">
        <v>0</v>
      </c>
      <c r="J233" s="318">
        <f t="shared" si="8"/>
        <v>0</v>
      </c>
      <c r="K233" s="282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s="5" customFormat="1" hidden="1">
      <c r="A234" s="189" t="s">
        <v>72</v>
      </c>
      <c r="B234" s="180" t="s">
        <v>345</v>
      </c>
      <c r="C234" s="59" t="s">
        <v>4</v>
      </c>
      <c r="D234" s="15">
        <v>0</v>
      </c>
      <c r="E234" s="15">
        <v>0</v>
      </c>
      <c r="F234" s="15">
        <v>0</v>
      </c>
      <c r="G234" s="15">
        <v>0</v>
      </c>
      <c r="H234" s="15">
        <v>0</v>
      </c>
      <c r="I234" s="225">
        <v>0</v>
      </c>
      <c r="J234" s="318">
        <f t="shared" si="8"/>
        <v>0</v>
      </c>
      <c r="K234" s="282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s="5" customFormat="1" hidden="1">
      <c r="A235" s="189" t="s">
        <v>346</v>
      </c>
      <c r="B235" s="217" t="s">
        <v>319</v>
      </c>
      <c r="C235" s="59" t="s">
        <v>2</v>
      </c>
      <c r="D235" s="44"/>
      <c r="E235" s="44"/>
      <c r="F235" s="44"/>
      <c r="G235" s="44"/>
      <c r="H235" s="44"/>
      <c r="I235" s="226"/>
      <c r="J235" s="318">
        <f t="shared" si="8"/>
        <v>0</v>
      </c>
      <c r="K235" s="282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s="5" customFormat="1" hidden="1">
      <c r="A236" s="189" t="s">
        <v>347</v>
      </c>
      <c r="B236" s="217" t="s">
        <v>321</v>
      </c>
      <c r="C236" s="59" t="s">
        <v>322</v>
      </c>
      <c r="D236" s="44"/>
      <c r="E236" s="44"/>
      <c r="F236" s="44"/>
      <c r="G236" s="44"/>
      <c r="H236" s="44"/>
      <c r="I236" s="226"/>
      <c r="J236" s="318">
        <f t="shared" si="8"/>
        <v>0</v>
      </c>
      <c r="K236" s="282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s="5" customFormat="1" hidden="1">
      <c r="A237" s="189" t="s">
        <v>73</v>
      </c>
      <c r="B237" s="180" t="s">
        <v>348</v>
      </c>
      <c r="C237" s="59" t="s">
        <v>4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225">
        <v>0</v>
      </c>
      <c r="J237" s="318">
        <f t="shared" si="8"/>
        <v>0</v>
      </c>
      <c r="K237" s="282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s="5" customFormat="1" hidden="1">
      <c r="A238" s="189" t="s">
        <v>349</v>
      </c>
      <c r="B238" s="218" t="s">
        <v>327</v>
      </c>
      <c r="C238" s="59" t="s">
        <v>4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225">
        <v>0</v>
      </c>
      <c r="J238" s="318">
        <f t="shared" si="8"/>
        <v>0</v>
      </c>
      <c r="K238" s="282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s="5" customFormat="1" ht="25.5" hidden="1">
      <c r="A239" s="189" t="s">
        <v>350</v>
      </c>
      <c r="B239" s="223" t="s">
        <v>329</v>
      </c>
      <c r="C239" s="59" t="s">
        <v>330</v>
      </c>
      <c r="D239" s="44"/>
      <c r="E239" s="44"/>
      <c r="F239" s="44"/>
      <c r="G239" s="44"/>
      <c r="H239" s="44"/>
      <c r="I239" s="226"/>
      <c r="J239" s="318">
        <f t="shared" ref="J239:J271" si="9">G239-F239</f>
        <v>0</v>
      </c>
      <c r="K239" s="282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s="5" customFormat="1" ht="25.5" hidden="1">
      <c r="A240" s="189" t="s">
        <v>351</v>
      </c>
      <c r="B240" s="223" t="s">
        <v>312</v>
      </c>
      <c r="C240" s="59" t="s">
        <v>313</v>
      </c>
      <c r="D240" s="44"/>
      <c r="E240" s="44"/>
      <c r="F240" s="44"/>
      <c r="G240" s="44"/>
      <c r="H240" s="44"/>
      <c r="I240" s="226"/>
      <c r="J240" s="318">
        <f t="shared" si="9"/>
        <v>0</v>
      </c>
      <c r="K240" s="282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s="5" customFormat="1" hidden="1">
      <c r="A241" s="189" t="s">
        <v>352</v>
      </c>
      <c r="B241" s="218" t="s">
        <v>335</v>
      </c>
      <c r="C241" s="59" t="s">
        <v>4</v>
      </c>
      <c r="D241" s="15">
        <v>0</v>
      </c>
      <c r="E241" s="15">
        <v>0</v>
      </c>
      <c r="F241" s="15">
        <v>0</v>
      </c>
      <c r="G241" s="15">
        <v>0</v>
      </c>
      <c r="H241" s="15">
        <v>0</v>
      </c>
      <c r="I241" s="225">
        <v>0</v>
      </c>
      <c r="J241" s="318">
        <f t="shared" si="9"/>
        <v>0</v>
      </c>
      <c r="K241" s="282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s="5" customFormat="1" ht="25.5" hidden="1">
      <c r="A242" s="189" t="s">
        <v>353</v>
      </c>
      <c r="B242" s="223" t="s">
        <v>329</v>
      </c>
      <c r="C242" s="59" t="s">
        <v>330</v>
      </c>
      <c r="D242" s="44"/>
      <c r="E242" s="44"/>
      <c r="F242" s="44"/>
      <c r="G242" s="44"/>
      <c r="H242" s="44"/>
      <c r="I242" s="226"/>
      <c r="J242" s="318">
        <f t="shared" si="9"/>
        <v>0</v>
      </c>
      <c r="K242" s="282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s="5" customFormat="1" ht="25.5" hidden="1">
      <c r="A243" s="189" t="s">
        <v>354</v>
      </c>
      <c r="B243" s="223" t="s">
        <v>312</v>
      </c>
      <c r="C243" s="59" t="s">
        <v>313</v>
      </c>
      <c r="D243" s="44"/>
      <c r="E243" s="44"/>
      <c r="F243" s="44"/>
      <c r="G243" s="44"/>
      <c r="H243" s="44"/>
      <c r="I243" s="226"/>
      <c r="J243" s="318">
        <f t="shared" si="9"/>
        <v>0</v>
      </c>
      <c r="K243" s="282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s="5" customFormat="1" hidden="1">
      <c r="A244" s="189" t="s">
        <v>355</v>
      </c>
      <c r="B244" s="218" t="s">
        <v>337</v>
      </c>
      <c r="C244" s="59" t="s">
        <v>4</v>
      </c>
      <c r="D244" s="15">
        <v>0</v>
      </c>
      <c r="E244" s="15">
        <v>0</v>
      </c>
      <c r="F244" s="15">
        <v>0</v>
      </c>
      <c r="G244" s="15">
        <v>0</v>
      </c>
      <c r="H244" s="15">
        <v>0</v>
      </c>
      <c r="I244" s="225">
        <v>0</v>
      </c>
      <c r="J244" s="318">
        <f t="shared" si="9"/>
        <v>0</v>
      </c>
      <c r="K244" s="282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s="5" customFormat="1" ht="25.5" hidden="1">
      <c r="A245" s="189" t="s">
        <v>356</v>
      </c>
      <c r="B245" s="223" t="s">
        <v>329</v>
      </c>
      <c r="C245" s="59" t="s">
        <v>330</v>
      </c>
      <c r="D245" s="44"/>
      <c r="E245" s="44"/>
      <c r="F245" s="44"/>
      <c r="G245" s="44"/>
      <c r="H245" s="44"/>
      <c r="I245" s="226"/>
      <c r="J245" s="318">
        <f t="shared" si="9"/>
        <v>0</v>
      </c>
      <c r="K245" s="282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s="5" customFormat="1" ht="25.5" hidden="1">
      <c r="A246" s="189" t="s">
        <v>357</v>
      </c>
      <c r="B246" s="223" t="s">
        <v>312</v>
      </c>
      <c r="C246" s="59" t="s">
        <v>313</v>
      </c>
      <c r="D246" s="44"/>
      <c r="E246" s="44"/>
      <c r="F246" s="44"/>
      <c r="G246" s="44"/>
      <c r="H246" s="44"/>
      <c r="I246" s="226"/>
      <c r="J246" s="318">
        <f t="shared" si="9"/>
        <v>0</v>
      </c>
      <c r="K246" s="282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s="5" customFormat="1" hidden="1">
      <c r="A247" s="189" t="s">
        <v>358</v>
      </c>
      <c r="B247" s="218" t="s">
        <v>341</v>
      </c>
      <c r="C247" s="59" t="s">
        <v>4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225">
        <v>0</v>
      </c>
      <c r="J247" s="318">
        <f t="shared" si="9"/>
        <v>0</v>
      </c>
      <c r="K247" s="282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s="5" customFormat="1" ht="25.5" hidden="1">
      <c r="A248" s="189" t="s">
        <v>359</v>
      </c>
      <c r="B248" s="223" t="s">
        <v>329</v>
      </c>
      <c r="C248" s="59" t="s">
        <v>330</v>
      </c>
      <c r="D248" s="44"/>
      <c r="E248" s="44"/>
      <c r="F248" s="44"/>
      <c r="G248" s="44"/>
      <c r="H248" s="44"/>
      <c r="I248" s="226"/>
      <c r="J248" s="318">
        <f t="shared" si="9"/>
        <v>0</v>
      </c>
      <c r="K248" s="282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s="5" customFormat="1" ht="25.5" hidden="1">
      <c r="A249" s="189" t="s">
        <v>360</v>
      </c>
      <c r="B249" s="223" t="s">
        <v>312</v>
      </c>
      <c r="C249" s="59" t="s">
        <v>313</v>
      </c>
      <c r="D249" s="44"/>
      <c r="E249" s="44"/>
      <c r="F249" s="44"/>
      <c r="G249" s="44"/>
      <c r="H249" s="44"/>
      <c r="I249" s="226"/>
      <c r="J249" s="318">
        <f t="shared" si="9"/>
        <v>0</v>
      </c>
      <c r="K249" s="282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s="5" customFormat="1" hidden="1">
      <c r="A250" s="227"/>
      <c r="B250" s="228"/>
      <c r="C250" s="229"/>
      <c r="D250" s="23"/>
      <c r="E250" s="23"/>
      <c r="F250" s="23"/>
      <c r="G250" s="23"/>
      <c r="H250" s="23"/>
      <c r="I250" s="230"/>
      <c r="J250" s="318">
        <f t="shared" si="9"/>
        <v>0</v>
      </c>
      <c r="K250" s="282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s="5" customFormat="1" ht="38.25" hidden="1">
      <c r="A251" s="189" t="s">
        <v>361</v>
      </c>
      <c r="B251" s="205" t="s">
        <v>362</v>
      </c>
      <c r="C251" s="59" t="s">
        <v>4</v>
      </c>
      <c r="D251" s="23"/>
      <c r="E251" s="23"/>
      <c r="F251" s="23"/>
      <c r="G251" s="23"/>
      <c r="H251" s="23"/>
      <c r="I251" s="230"/>
      <c r="J251" s="318">
        <f t="shared" si="9"/>
        <v>0</v>
      </c>
      <c r="K251" s="282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s="5" customFormat="1" hidden="1">
      <c r="A252" s="189" t="s">
        <v>363</v>
      </c>
      <c r="B252" s="206" t="s">
        <v>364</v>
      </c>
      <c r="C252" s="59" t="s">
        <v>4</v>
      </c>
      <c r="D252" s="23"/>
      <c r="E252" s="23"/>
      <c r="F252" s="23"/>
      <c r="G252" s="23"/>
      <c r="H252" s="23"/>
      <c r="I252" s="230"/>
      <c r="J252" s="318">
        <f t="shared" si="9"/>
        <v>0</v>
      </c>
      <c r="K252" s="282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s="5" customFormat="1" hidden="1">
      <c r="A253" s="189" t="s">
        <v>365</v>
      </c>
      <c r="B253" s="206" t="s">
        <v>366</v>
      </c>
      <c r="C253" s="59" t="s">
        <v>4</v>
      </c>
      <c r="D253" s="23"/>
      <c r="E253" s="23"/>
      <c r="F253" s="23"/>
      <c r="G253" s="23"/>
      <c r="H253" s="23"/>
      <c r="I253" s="230"/>
      <c r="J253" s="318">
        <f t="shared" si="9"/>
        <v>0</v>
      </c>
      <c r="K253" s="282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s="5" customFormat="1" hidden="1">
      <c r="A254" s="189" t="s">
        <v>367</v>
      </c>
      <c r="B254" s="206" t="s">
        <v>368</v>
      </c>
      <c r="C254" s="59" t="s">
        <v>4</v>
      </c>
      <c r="D254" s="23"/>
      <c r="E254" s="23"/>
      <c r="F254" s="23"/>
      <c r="G254" s="23"/>
      <c r="H254" s="23"/>
      <c r="I254" s="230"/>
      <c r="J254" s="318">
        <f t="shared" si="9"/>
        <v>0</v>
      </c>
      <c r="K254" s="282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s="5" customFormat="1" hidden="1">
      <c r="A255" s="189" t="s">
        <v>369</v>
      </c>
      <c r="B255" s="206" t="s">
        <v>370</v>
      </c>
      <c r="C255" s="59" t="s">
        <v>4</v>
      </c>
      <c r="D255" s="23"/>
      <c r="E255" s="23"/>
      <c r="F255" s="23"/>
      <c r="G255" s="23"/>
      <c r="H255" s="23"/>
      <c r="I255" s="230"/>
      <c r="J255" s="318">
        <f t="shared" si="9"/>
        <v>0</v>
      </c>
      <c r="K255" s="282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s="13" customFormat="1">
      <c r="A256" s="37" t="s">
        <v>117</v>
      </c>
      <c r="B256" s="38" t="s">
        <v>371</v>
      </c>
      <c r="C256" s="39" t="s">
        <v>4</v>
      </c>
      <c r="D256" s="48">
        <v>0</v>
      </c>
      <c r="E256" s="48">
        <v>0</v>
      </c>
      <c r="F256" s="48">
        <f>F259</f>
        <v>750.28504508333299</v>
      </c>
      <c r="G256" s="48">
        <f>G259</f>
        <v>0</v>
      </c>
      <c r="H256" s="48">
        <v>0</v>
      </c>
      <c r="I256" s="231">
        <v>0</v>
      </c>
      <c r="J256" s="318">
        <f t="shared" si="9"/>
        <v>-750.28504508333299</v>
      </c>
      <c r="K256" s="287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</row>
    <row r="257" spans="1:30" s="5" customFormat="1" ht="25.5" hidden="1">
      <c r="A257" s="189" t="s">
        <v>372</v>
      </c>
      <c r="B257" s="205" t="s">
        <v>373</v>
      </c>
      <c r="C257" s="59" t="s">
        <v>4</v>
      </c>
      <c r="D257" s="50"/>
      <c r="E257" s="50"/>
      <c r="F257" s="49"/>
      <c r="G257" s="50"/>
      <c r="H257" s="49"/>
      <c r="I257" s="232"/>
      <c r="J257" s="318">
        <f t="shared" si="9"/>
        <v>0</v>
      </c>
      <c r="K257" s="282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s="5" customFormat="1" hidden="1">
      <c r="A258" s="189" t="s">
        <v>374</v>
      </c>
      <c r="B258" s="205" t="s">
        <v>375</v>
      </c>
      <c r="C258" s="59" t="s">
        <v>4</v>
      </c>
      <c r="D258" s="50"/>
      <c r="E258" s="50"/>
      <c r="F258" s="49"/>
      <c r="G258" s="50"/>
      <c r="H258" s="49"/>
      <c r="I258" s="232"/>
      <c r="J258" s="318">
        <f t="shared" si="9"/>
        <v>0</v>
      </c>
      <c r="K258" s="282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s="5" customFormat="1" ht="25.5">
      <c r="A259" s="189" t="s">
        <v>78</v>
      </c>
      <c r="B259" s="205" t="s">
        <v>376</v>
      </c>
      <c r="C259" s="59" t="s">
        <v>4</v>
      </c>
      <c r="D259" s="49"/>
      <c r="E259" s="49"/>
      <c r="F259" s="49">
        <v>750.28504508333299</v>
      </c>
      <c r="G259" s="49">
        <v>0</v>
      </c>
      <c r="H259" s="49"/>
      <c r="I259" s="232"/>
      <c r="J259" s="318">
        <f t="shared" si="9"/>
        <v>-750.28504508333299</v>
      </c>
      <c r="K259" s="283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s="5" customFormat="1" hidden="1">
      <c r="A260" s="189" t="s">
        <v>78</v>
      </c>
      <c r="B260" s="205" t="s">
        <v>377</v>
      </c>
      <c r="C260" s="59" t="s">
        <v>4</v>
      </c>
      <c r="D260" s="24">
        <v>0</v>
      </c>
      <c r="E260" s="24">
        <v>0</v>
      </c>
      <c r="F260" s="24">
        <v>0</v>
      </c>
      <c r="G260" s="24">
        <v>0</v>
      </c>
      <c r="H260" s="24">
        <v>0</v>
      </c>
      <c r="I260" s="233">
        <v>0</v>
      </c>
      <c r="J260" s="318">
        <f t="shared" si="9"/>
        <v>0</v>
      </c>
      <c r="K260" s="282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s="5" customFormat="1" hidden="1">
      <c r="A261" s="189" t="s">
        <v>94</v>
      </c>
      <c r="B261" s="206" t="s">
        <v>378</v>
      </c>
      <c r="C261" s="59" t="s">
        <v>4</v>
      </c>
      <c r="D261" s="49"/>
      <c r="E261" s="49"/>
      <c r="F261" s="49">
        <v>0</v>
      </c>
      <c r="G261" s="49"/>
      <c r="H261" s="49">
        <v>0</v>
      </c>
      <c r="I261" s="232">
        <v>0</v>
      </c>
      <c r="J261" s="318">
        <f t="shared" si="9"/>
        <v>0</v>
      </c>
      <c r="K261" s="282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s="5" customFormat="1" hidden="1">
      <c r="A262" s="189" t="s">
        <v>379</v>
      </c>
      <c r="B262" s="206" t="s">
        <v>380</v>
      </c>
      <c r="C262" s="59" t="s">
        <v>4</v>
      </c>
      <c r="D262" s="50"/>
      <c r="E262" s="50"/>
      <c r="F262" s="50"/>
      <c r="G262" s="50"/>
      <c r="H262" s="50"/>
      <c r="I262" s="234"/>
      <c r="J262" s="318">
        <f t="shared" si="9"/>
        <v>0</v>
      </c>
      <c r="K262" s="282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s="13" customFormat="1">
      <c r="A263" s="37" t="s">
        <v>128</v>
      </c>
      <c r="B263" s="38" t="s">
        <v>381</v>
      </c>
      <c r="C263" s="39" t="s">
        <v>4</v>
      </c>
      <c r="D263" s="274"/>
      <c r="E263" s="274"/>
      <c r="F263" s="274">
        <f>F266+F267</f>
        <v>0</v>
      </c>
      <c r="G263" s="34">
        <f>G266+G267</f>
        <v>3624.106622499995</v>
      </c>
      <c r="H263" s="274"/>
      <c r="I263" s="275"/>
      <c r="J263" s="318">
        <f t="shared" si="9"/>
        <v>3624.106622499995</v>
      </c>
      <c r="K263" s="287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</row>
    <row r="264" spans="1:30" s="5" customFormat="1" ht="25.5" hidden="1">
      <c r="A264" s="57" t="s">
        <v>382</v>
      </c>
      <c r="B264" s="205" t="s">
        <v>383</v>
      </c>
      <c r="C264" s="59" t="s">
        <v>4</v>
      </c>
      <c r="D264" s="50"/>
      <c r="E264" s="50"/>
      <c r="F264" s="50"/>
      <c r="G264" s="50"/>
      <c r="H264" s="50"/>
      <c r="I264" s="234"/>
      <c r="J264" s="318">
        <f t="shared" si="9"/>
        <v>0</v>
      </c>
      <c r="K264" s="282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s="5" customFormat="1" ht="25.5" hidden="1">
      <c r="A265" s="57" t="s">
        <v>384</v>
      </c>
      <c r="B265" s="205" t="s">
        <v>385</v>
      </c>
      <c r="C265" s="59" t="s">
        <v>4</v>
      </c>
      <c r="D265" s="50"/>
      <c r="E265" s="50"/>
      <c r="F265" s="50"/>
      <c r="G265" s="50"/>
      <c r="H265" s="50"/>
      <c r="I265" s="234"/>
      <c r="J265" s="318">
        <f t="shared" si="9"/>
        <v>0</v>
      </c>
      <c r="K265" s="282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s="5" customFormat="1" ht="25.5">
      <c r="A266" s="57" t="s">
        <v>138</v>
      </c>
      <c r="B266" s="205" t="s">
        <v>386</v>
      </c>
      <c r="C266" s="59" t="s">
        <v>4</v>
      </c>
      <c r="D266" s="50"/>
      <c r="E266" s="50"/>
      <c r="F266" s="50"/>
      <c r="G266" s="279"/>
      <c r="H266" s="279"/>
      <c r="I266" s="278"/>
      <c r="J266" s="279"/>
      <c r="K266" s="305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s="4" customFormat="1" ht="72.75" customHeight="1">
      <c r="A267" s="57" t="s">
        <v>387</v>
      </c>
      <c r="B267" s="205" t="s">
        <v>388</v>
      </c>
      <c r="C267" s="59" t="s">
        <v>4</v>
      </c>
      <c r="D267" s="50"/>
      <c r="E267" s="50"/>
      <c r="F267" s="50"/>
      <c r="G267" s="33">
        <f>(G34*314.71-G34*296.51)/1000</f>
        <v>3624.106622499995</v>
      </c>
      <c r="H267" s="33">
        <f>(H34*314.71-H34*296.51)/1000</f>
        <v>3765.8808283823951</v>
      </c>
      <c r="I267" s="235">
        <f>(I34*314.71-I34*296.51)/1000</f>
        <v>3765.8808283823951</v>
      </c>
      <c r="J267" s="322">
        <f>(J34*314.71-J34*296.51)/1000</f>
        <v>0</v>
      </c>
      <c r="K267" s="288" t="s">
        <v>605</v>
      </c>
    </row>
    <row r="268" spans="1:30" s="5" customFormat="1" ht="25.5">
      <c r="A268" s="189" t="s">
        <v>389</v>
      </c>
      <c r="B268" s="58" t="s">
        <v>390</v>
      </c>
      <c r="C268" s="59" t="s">
        <v>4</v>
      </c>
      <c r="D268" s="33"/>
      <c r="E268" s="33"/>
      <c r="F268" s="33"/>
      <c r="G268" s="33"/>
      <c r="H268" s="33"/>
      <c r="I268" s="235"/>
      <c r="J268" s="318">
        <f t="shared" si="9"/>
        <v>0</v>
      </c>
      <c r="K268" s="282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s="5" customFormat="1" hidden="1">
      <c r="A269" s="189"/>
      <c r="B269" s="205"/>
      <c r="C269" s="59"/>
      <c r="D269" s="23"/>
      <c r="E269" s="23"/>
      <c r="F269" s="23"/>
      <c r="G269" s="23"/>
      <c r="H269" s="23"/>
      <c r="I269" s="230"/>
      <c r="J269" s="318">
        <f t="shared" si="9"/>
        <v>0</v>
      </c>
      <c r="K269" s="282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s="5" customFormat="1" hidden="1">
      <c r="A270" s="189"/>
      <c r="B270" s="205"/>
      <c r="C270" s="59"/>
      <c r="D270" s="23"/>
      <c r="E270" s="23"/>
      <c r="F270" s="23"/>
      <c r="G270" s="23"/>
      <c r="H270" s="23"/>
      <c r="I270" s="230"/>
      <c r="J270" s="318">
        <f t="shared" si="9"/>
        <v>0</v>
      </c>
      <c r="K270" s="282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s="47" customFormat="1" ht="15.75">
      <c r="A271" s="236" t="s">
        <v>391</v>
      </c>
      <c r="B271" s="237" t="s">
        <v>392</v>
      </c>
      <c r="C271" s="238" t="s">
        <v>4</v>
      </c>
      <c r="D271" s="77">
        <f>D98+D144+D166+D256</f>
        <v>245253.43934392399</v>
      </c>
      <c r="E271" s="77">
        <f>E98+E144+E166+E256</f>
        <v>283246.18645501806</v>
      </c>
      <c r="F271" s="77">
        <f>F98+F144+F166+F256+F263-F268</f>
        <v>289699.74488906137</v>
      </c>
      <c r="G271" s="77">
        <f>G98+G144+G166+G256+G263-G268</f>
        <v>319683.84708148352</v>
      </c>
      <c r="H271" s="77">
        <v>293981.14840594691</v>
      </c>
      <c r="I271" s="239">
        <v>312265.81982504774</v>
      </c>
      <c r="J271" s="318">
        <f t="shared" si="9"/>
        <v>29984.102192422142</v>
      </c>
      <c r="K271" s="30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</row>
    <row r="272" spans="1:30" s="13" customFormat="1" ht="14.25" hidden="1">
      <c r="A272" s="204" t="s">
        <v>393</v>
      </c>
      <c r="B272" s="215" t="s">
        <v>394</v>
      </c>
      <c r="C272" s="39" t="s">
        <v>4</v>
      </c>
      <c r="D272" s="78"/>
      <c r="E272" s="78"/>
      <c r="F272" s="78"/>
      <c r="G272" s="78"/>
      <c r="H272" s="78"/>
      <c r="I272" s="240"/>
      <c r="J272" s="280"/>
      <c r="K272" s="306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</row>
    <row r="273" spans="1:30" s="13" customFormat="1" ht="14.25">
      <c r="A273" s="37" t="s">
        <v>395</v>
      </c>
      <c r="B273" s="241" t="s">
        <v>396</v>
      </c>
      <c r="C273" s="39" t="s">
        <v>4</v>
      </c>
      <c r="D273" s="48">
        <v>0</v>
      </c>
      <c r="E273" s="48">
        <v>0</v>
      </c>
      <c r="F273" s="48">
        <v>0</v>
      </c>
      <c r="G273" s="48">
        <v>0</v>
      </c>
      <c r="H273" s="48">
        <v>0</v>
      </c>
      <c r="I273" s="231">
        <v>0</v>
      </c>
      <c r="J273" s="326"/>
      <c r="K273" s="306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</row>
    <row r="274" spans="1:30" s="5" customFormat="1" ht="25.5" hidden="1">
      <c r="A274" s="189" t="s">
        <v>397</v>
      </c>
      <c r="B274" s="205" t="s">
        <v>398</v>
      </c>
      <c r="C274" s="59" t="s">
        <v>4</v>
      </c>
      <c r="D274" s="49"/>
      <c r="E274" s="49"/>
      <c r="F274" s="49"/>
      <c r="G274" s="49"/>
      <c r="H274" s="49"/>
      <c r="I274" s="232"/>
      <c r="J274" s="327"/>
      <c r="K274" s="306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s="5" customFormat="1" ht="14.25" hidden="1">
      <c r="A275" s="189" t="s">
        <v>372</v>
      </c>
      <c r="B275" s="205" t="s">
        <v>399</v>
      </c>
      <c r="C275" s="59" t="s">
        <v>4</v>
      </c>
      <c r="D275" s="49">
        <v>0</v>
      </c>
      <c r="E275" s="49">
        <v>0</v>
      </c>
      <c r="F275" s="49">
        <v>0</v>
      </c>
      <c r="G275" s="49">
        <v>0</v>
      </c>
      <c r="H275" s="49">
        <v>0</v>
      </c>
      <c r="I275" s="232">
        <v>0</v>
      </c>
      <c r="J275" s="327"/>
      <c r="K275" s="306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s="5" customFormat="1" ht="14.25" hidden="1">
      <c r="A276" s="189" t="s">
        <v>400</v>
      </c>
      <c r="B276" s="205" t="s">
        <v>401</v>
      </c>
      <c r="C276" s="59" t="s">
        <v>4</v>
      </c>
      <c r="D276" s="49"/>
      <c r="E276" s="49"/>
      <c r="F276" s="49"/>
      <c r="G276" s="49"/>
      <c r="H276" s="49"/>
      <c r="I276" s="232"/>
      <c r="J276" s="327"/>
      <c r="K276" s="306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s="5" customFormat="1" ht="14.25" hidden="1">
      <c r="A277" s="189" t="s">
        <v>374</v>
      </c>
      <c r="B277" s="205" t="s">
        <v>402</v>
      </c>
      <c r="C277" s="59" t="s">
        <v>4</v>
      </c>
      <c r="D277" s="49">
        <v>0</v>
      </c>
      <c r="E277" s="49">
        <v>0</v>
      </c>
      <c r="F277" s="49">
        <v>0</v>
      </c>
      <c r="G277" s="49">
        <v>0</v>
      </c>
      <c r="H277" s="49">
        <v>0</v>
      </c>
      <c r="I277" s="232">
        <v>0</v>
      </c>
      <c r="J277" s="327"/>
      <c r="K277" s="306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s="5" customFormat="1" ht="14.25" hidden="1">
      <c r="A278" s="189" t="s">
        <v>403</v>
      </c>
      <c r="B278" s="205" t="s">
        <v>404</v>
      </c>
      <c r="C278" s="59" t="s">
        <v>4</v>
      </c>
      <c r="D278" s="24">
        <v>0</v>
      </c>
      <c r="E278" s="24">
        <v>0</v>
      </c>
      <c r="F278" s="24">
        <v>0</v>
      </c>
      <c r="G278" s="24">
        <v>0</v>
      </c>
      <c r="H278" s="24">
        <v>0</v>
      </c>
      <c r="I278" s="233">
        <v>0</v>
      </c>
      <c r="J278" s="316"/>
      <c r="K278" s="306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s="5" customFormat="1" ht="14.25" hidden="1">
      <c r="A279" s="189" t="s">
        <v>405</v>
      </c>
      <c r="B279" s="206" t="s">
        <v>406</v>
      </c>
      <c r="C279" s="59" t="s">
        <v>4</v>
      </c>
      <c r="D279" s="49">
        <v>0</v>
      </c>
      <c r="E279" s="49">
        <v>0</v>
      </c>
      <c r="F279" s="49">
        <v>0</v>
      </c>
      <c r="G279" s="49">
        <v>0</v>
      </c>
      <c r="H279" s="49">
        <v>0</v>
      </c>
      <c r="I279" s="232">
        <v>0</v>
      </c>
      <c r="J279" s="327"/>
      <c r="K279" s="306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s="5" customFormat="1" ht="14.25" hidden="1">
      <c r="A280" s="189" t="s">
        <v>407</v>
      </c>
      <c r="B280" s="206" t="s">
        <v>408</v>
      </c>
      <c r="C280" s="59" t="s">
        <v>4</v>
      </c>
      <c r="D280" s="50"/>
      <c r="E280" s="50"/>
      <c r="F280" s="50"/>
      <c r="G280" s="50"/>
      <c r="H280" s="50"/>
      <c r="I280" s="234"/>
      <c r="J280" s="328"/>
      <c r="K280" s="306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s="5" customFormat="1" ht="14.25" hidden="1">
      <c r="A281" s="189" t="s">
        <v>149</v>
      </c>
      <c r="B281" s="206" t="s">
        <v>409</v>
      </c>
      <c r="C281" s="59" t="s">
        <v>4</v>
      </c>
      <c r="D281" s="49"/>
      <c r="E281" s="49"/>
      <c r="F281" s="49">
        <v>0</v>
      </c>
      <c r="G281" s="49"/>
      <c r="H281" s="49">
        <v>0</v>
      </c>
      <c r="I281" s="232">
        <v>0</v>
      </c>
      <c r="J281" s="327"/>
      <c r="K281" s="306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s="5" customFormat="1" ht="14.25" hidden="1">
      <c r="A282" s="189" t="s">
        <v>410</v>
      </c>
      <c r="B282" s="177" t="s">
        <v>411</v>
      </c>
      <c r="C282" s="59" t="s">
        <v>4</v>
      </c>
      <c r="D282" s="50"/>
      <c r="E282" s="50"/>
      <c r="F282" s="50"/>
      <c r="G282" s="50"/>
      <c r="H282" s="50"/>
      <c r="I282" s="234"/>
      <c r="J282" s="328"/>
      <c r="K282" s="306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s="5" customFormat="1" ht="25.5" hidden="1">
      <c r="A283" s="189" t="s">
        <v>412</v>
      </c>
      <c r="B283" s="205" t="s">
        <v>413</v>
      </c>
      <c r="C283" s="59" t="s">
        <v>4</v>
      </c>
      <c r="D283" s="50"/>
      <c r="E283" s="50"/>
      <c r="F283" s="50"/>
      <c r="G283" s="50"/>
      <c r="H283" s="50"/>
      <c r="I283" s="234"/>
      <c r="J283" s="328"/>
      <c r="K283" s="306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</row>
    <row r="284" spans="1:30" s="5" customFormat="1" ht="14.25" hidden="1">
      <c r="A284" s="189" t="s">
        <v>407</v>
      </c>
      <c r="B284" s="205" t="s">
        <v>414</v>
      </c>
      <c r="C284" s="59" t="s">
        <v>4</v>
      </c>
      <c r="D284" s="50"/>
      <c r="E284" s="50"/>
      <c r="F284" s="50"/>
      <c r="G284" s="50"/>
      <c r="H284" s="50"/>
      <c r="I284" s="234"/>
      <c r="J284" s="328"/>
      <c r="K284" s="306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</row>
    <row r="285" spans="1:30" s="53" customFormat="1" ht="14.25">
      <c r="A285" s="242" t="s">
        <v>415</v>
      </c>
      <c r="B285" s="243" t="s">
        <v>416</v>
      </c>
      <c r="C285" s="244" t="s">
        <v>4</v>
      </c>
      <c r="D285" s="51">
        <f>D271+D273</f>
        <v>245253.43934392399</v>
      </c>
      <c r="E285" s="51">
        <f>E271+E273</f>
        <v>283246.18645501806</v>
      </c>
      <c r="F285" s="51">
        <f>F271+F273</f>
        <v>289699.74488906137</v>
      </c>
      <c r="G285" s="51">
        <f>G271+G273</f>
        <v>319683.84708148352</v>
      </c>
      <c r="H285" s="51">
        <v>293981.14840594691</v>
      </c>
      <c r="I285" s="349">
        <v>312265.81982504774</v>
      </c>
      <c r="J285" s="329">
        <f>G285-F285</f>
        <v>29984.102192422142</v>
      </c>
      <c r="K285" s="306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</row>
    <row r="286" spans="1:30" s="5" customFormat="1" hidden="1">
      <c r="A286" s="189" t="s">
        <v>417</v>
      </c>
      <c r="B286" s="177" t="s">
        <v>418</v>
      </c>
      <c r="C286" s="59" t="s">
        <v>4</v>
      </c>
      <c r="D286" s="50"/>
      <c r="E286" s="50"/>
      <c r="F286" s="50"/>
      <c r="G286" s="50"/>
      <c r="H286" s="50"/>
      <c r="I286" s="234"/>
      <c r="J286" s="328"/>
      <c r="K286" s="282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</row>
    <row r="287" spans="1:30" s="5" customFormat="1" ht="25.5" hidden="1">
      <c r="A287" s="189" t="s">
        <v>419</v>
      </c>
      <c r="B287" s="177" t="s">
        <v>420</v>
      </c>
      <c r="C287" s="59" t="s">
        <v>4</v>
      </c>
      <c r="D287" s="50"/>
      <c r="E287" s="50"/>
      <c r="F287" s="50"/>
      <c r="G287" s="50"/>
      <c r="H287" s="50"/>
      <c r="I287" s="234"/>
      <c r="J287" s="328"/>
      <c r="K287" s="282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</row>
    <row r="288" spans="1:30" s="5" customFormat="1" hidden="1">
      <c r="A288" s="245"/>
      <c r="B288" s="58"/>
      <c r="C288" s="246"/>
      <c r="D288" s="50"/>
      <c r="E288" s="50"/>
      <c r="F288" s="50"/>
      <c r="G288" s="50"/>
      <c r="H288" s="50"/>
      <c r="I288" s="234"/>
      <c r="J288" s="328"/>
      <c r="K288" s="282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</row>
    <row r="289" spans="1:30" s="5" customFormat="1" ht="25.5" hidden="1">
      <c r="A289" s="189" t="s">
        <v>421</v>
      </c>
      <c r="B289" s="177" t="s">
        <v>422</v>
      </c>
      <c r="C289" s="59" t="s">
        <v>4</v>
      </c>
      <c r="D289" s="50"/>
      <c r="E289" s="50"/>
      <c r="F289" s="50"/>
      <c r="G289" s="50"/>
      <c r="H289" s="50"/>
      <c r="I289" s="234"/>
      <c r="J289" s="328"/>
      <c r="K289" s="282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</row>
    <row r="290" spans="1:30" s="13" customFormat="1" ht="25.5">
      <c r="A290" s="37" t="s">
        <v>423</v>
      </c>
      <c r="B290" s="241" t="s">
        <v>424</v>
      </c>
      <c r="C290" s="39" t="s">
        <v>4</v>
      </c>
      <c r="D290" s="34">
        <v>0</v>
      </c>
      <c r="E290" s="34">
        <v>0</v>
      </c>
      <c r="F290" s="34">
        <f>F263</f>
        <v>0</v>
      </c>
      <c r="G290" s="34">
        <f>G263</f>
        <v>3624.106622499995</v>
      </c>
      <c r="H290" s="79">
        <v>0</v>
      </c>
      <c r="I290" s="350">
        <v>0</v>
      </c>
      <c r="J290" s="323">
        <f>G290-F290</f>
        <v>3624.106622499995</v>
      </c>
      <c r="K290" s="288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</row>
    <row r="291" spans="1:30" s="5" customFormat="1" ht="38.25" hidden="1">
      <c r="A291" s="189" t="s">
        <v>425</v>
      </c>
      <c r="B291" s="179" t="s">
        <v>426</v>
      </c>
      <c r="C291" s="59" t="s">
        <v>4</v>
      </c>
      <c r="D291" s="50"/>
      <c r="E291" s="50"/>
      <c r="F291" s="50"/>
      <c r="G291" s="50"/>
      <c r="H291" s="50"/>
      <c r="I291" s="234"/>
      <c r="J291" s="328"/>
      <c r="K291" s="282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</row>
    <row r="292" spans="1:30" s="5" customFormat="1" ht="25.5" hidden="1">
      <c r="A292" s="189" t="s">
        <v>427</v>
      </c>
      <c r="B292" s="192" t="s">
        <v>428</v>
      </c>
      <c r="C292" s="59" t="s">
        <v>2</v>
      </c>
      <c r="D292" s="50"/>
      <c r="E292" s="50"/>
      <c r="F292" s="50"/>
      <c r="G292" s="50"/>
      <c r="H292" s="50"/>
      <c r="I292" s="234"/>
      <c r="J292" s="328"/>
      <c r="K292" s="282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</row>
    <row r="293" spans="1:30" s="5" customFormat="1" ht="25.5" hidden="1">
      <c r="A293" s="189" t="s">
        <v>429</v>
      </c>
      <c r="B293" s="179" t="s">
        <v>430</v>
      </c>
      <c r="C293" s="59" t="s">
        <v>4</v>
      </c>
      <c r="D293" s="50"/>
      <c r="E293" s="50"/>
      <c r="F293" s="50"/>
      <c r="G293" s="50"/>
      <c r="H293" s="50"/>
      <c r="I293" s="234"/>
      <c r="J293" s="328"/>
      <c r="K293" s="282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</row>
    <row r="294" spans="1:30" s="5" customFormat="1" ht="25.5" hidden="1">
      <c r="A294" s="189" t="s">
        <v>431</v>
      </c>
      <c r="B294" s="247" t="s">
        <v>432</v>
      </c>
      <c r="C294" s="59" t="s">
        <v>433</v>
      </c>
      <c r="D294" s="50"/>
      <c r="E294" s="50"/>
      <c r="F294" s="50"/>
      <c r="G294" s="50"/>
      <c r="H294" s="50"/>
      <c r="I294" s="234"/>
      <c r="J294" s="328"/>
      <c r="K294" s="282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</row>
    <row r="295" spans="1:30" s="5" customFormat="1" hidden="1">
      <c r="A295" s="189" t="s">
        <v>434</v>
      </c>
      <c r="B295" s="247" t="s">
        <v>294</v>
      </c>
      <c r="C295" s="59" t="s">
        <v>2</v>
      </c>
      <c r="D295" s="50"/>
      <c r="E295" s="50"/>
      <c r="F295" s="50"/>
      <c r="G295" s="50"/>
      <c r="H295" s="50"/>
      <c r="I295" s="234"/>
      <c r="J295" s="328"/>
      <c r="K295" s="282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</row>
    <row r="296" spans="1:30" s="5" customFormat="1" hidden="1">
      <c r="A296" s="189" t="s">
        <v>435</v>
      </c>
      <c r="B296" s="179" t="s">
        <v>436</v>
      </c>
      <c r="C296" s="59" t="s">
        <v>4</v>
      </c>
      <c r="D296" s="50"/>
      <c r="E296" s="50"/>
      <c r="F296" s="50"/>
      <c r="G296" s="50"/>
      <c r="H296" s="50"/>
      <c r="I296" s="234"/>
      <c r="J296" s="328"/>
      <c r="K296" s="282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</row>
    <row r="297" spans="1:30" s="5" customFormat="1" ht="25.5" hidden="1">
      <c r="A297" s="189" t="s">
        <v>437</v>
      </c>
      <c r="B297" s="247" t="s">
        <v>432</v>
      </c>
      <c r="C297" s="59" t="s">
        <v>433</v>
      </c>
      <c r="D297" s="50"/>
      <c r="E297" s="50"/>
      <c r="F297" s="50"/>
      <c r="G297" s="50"/>
      <c r="H297" s="50"/>
      <c r="I297" s="234"/>
      <c r="J297" s="328"/>
      <c r="K297" s="282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</row>
    <row r="298" spans="1:30" s="5" customFormat="1" hidden="1">
      <c r="A298" s="189" t="s">
        <v>438</v>
      </c>
      <c r="B298" s="247" t="s">
        <v>294</v>
      </c>
      <c r="C298" s="59" t="s">
        <v>2</v>
      </c>
      <c r="D298" s="50"/>
      <c r="E298" s="50"/>
      <c r="F298" s="50"/>
      <c r="G298" s="50"/>
      <c r="H298" s="50"/>
      <c r="I298" s="234"/>
      <c r="J298" s="328"/>
      <c r="K298" s="282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</row>
    <row r="299" spans="1:30" s="5" customFormat="1" hidden="1">
      <c r="A299" s="189" t="s">
        <v>439</v>
      </c>
      <c r="B299" s="179" t="s">
        <v>16</v>
      </c>
      <c r="C299" s="59" t="s">
        <v>4</v>
      </c>
      <c r="D299" s="50"/>
      <c r="E299" s="50"/>
      <c r="F299" s="50"/>
      <c r="G299" s="50"/>
      <c r="H299" s="50"/>
      <c r="I299" s="234"/>
      <c r="J299" s="328"/>
      <c r="K299" s="282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</row>
    <row r="300" spans="1:30" s="5" customFormat="1" ht="25.5" hidden="1">
      <c r="A300" s="189" t="s">
        <v>440</v>
      </c>
      <c r="B300" s="247" t="s">
        <v>432</v>
      </c>
      <c r="C300" s="59" t="s">
        <v>433</v>
      </c>
      <c r="D300" s="50"/>
      <c r="E300" s="50"/>
      <c r="F300" s="50"/>
      <c r="G300" s="50"/>
      <c r="H300" s="50"/>
      <c r="I300" s="234"/>
      <c r="J300" s="328"/>
      <c r="K300" s="282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</row>
    <row r="301" spans="1:30" s="5" customFormat="1" hidden="1">
      <c r="A301" s="189" t="s">
        <v>441</v>
      </c>
      <c r="B301" s="247" t="s">
        <v>294</v>
      </c>
      <c r="C301" s="59" t="s">
        <v>2</v>
      </c>
      <c r="D301" s="50"/>
      <c r="E301" s="50"/>
      <c r="F301" s="50"/>
      <c r="G301" s="50"/>
      <c r="H301" s="50"/>
      <c r="I301" s="234"/>
      <c r="J301" s="328"/>
      <c r="K301" s="282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</row>
    <row r="302" spans="1:30" s="5" customFormat="1" hidden="1">
      <c r="A302" s="189" t="s">
        <v>442</v>
      </c>
      <c r="B302" s="179" t="s">
        <v>17</v>
      </c>
      <c r="C302" s="59" t="s">
        <v>4</v>
      </c>
      <c r="D302" s="50"/>
      <c r="E302" s="50"/>
      <c r="F302" s="50"/>
      <c r="G302" s="50"/>
      <c r="H302" s="50"/>
      <c r="I302" s="234"/>
      <c r="J302" s="328"/>
      <c r="K302" s="282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</row>
    <row r="303" spans="1:30" s="5" customFormat="1" ht="25.5" hidden="1">
      <c r="A303" s="189" t="s">
        <v>443</v>
      </c>
      <c r="B303" s="247" t="s">
        <v>432</v>
      </c>
      <c r="C303" s="59" t="s">
        <v>433</v>
      </c>
      <c r="D303" s="50"/>
      <c r="E303" s="50"/>
      <c r="F303" s="50"/>
      <c r="G303" s="50"/>
      <c r="H303" s="50"/>
      <c r="I303" s="234"/>
      <c r="J303" s="328"/>
      <c r="K303" s="282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</row>
    <row r="304" spans="1:30" s="5" customFormat="1" hidden="1">
      <c r="A304" s="189" t="s">
        <v>444</v>
      </c>
      <c r="B304" s="247" t="s">
        <v>294</v>
      </c>
      <c r="C304" s="59" t="s">
        <v>2</v>
      </c>
      <c r="D304" s="50"/>
      <c r="E304" s="50"/>
      <c r="F304" s="50"/>
      <c r="G304" s="50"/>
      <c r="H304" s="50"/>
      <c r="I304" s="234"/>
      <c r="J304" s="328"/>
      <c r="K304" s="282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</row>
    <row r="305" spans="1:30" s="5" customFormat="1">
      <c r="A305" s="189" t="s">
        <v>445</v>
      </c>
      <c r="B305" s="58" t="s">
        <v>446</v>
      </c>
      <c r="C305" s="59" t="s">
        <v>12</v>
      </c>
      <c r="D305" s="50" t="s">
        <v>12</v>
      </c>
      <c r="E305" s="50" t="s">
        <v>12</v>
      </c>
      <c r="F305" s="50" t="s">
        <v>12</v>
      </c>
      <c r="G305" s="50" t="s">
        <v>12</v>
      </c>
      <c r="H305" s="50" t="s">
        <v>12</v>
      </c>
      <c r="I305" s="234" t="s">
        <v>12</v>
      </c>
      <c r="J305" s="328"/>
      <c r="K305" s="282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</row>
    <row r="306" spans="1:30" s="5" customFormat="1">
      <c r="A306" s="57">
        <v>1</v>
      </c>
      <c r="B306" s="208" t="s">
        <v>447</v>
      </c>
      <c r="C306" s="59" t="s">
        <v>3</v>
      </c>
      <c r="D306" s="24"/>
      <c r="E306" s="24">
        <v>107.4</v>
      </c>
      <c r="F306" s="23"/>
      <c r="G306" s="24">
        <v>104</v>
      </c>
      <c r="H306" s="23">
        <v>105.80000000000001</v>
      </c>
      <c r="I306" s="230">
        <v>105.5</v>
      </c>
      <c r="J306" s="315"/>
      <c r="K306" s="282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</row>
    <row r="307" spans="1:30" s="5" customFormat="1">
      <c r="A307" s="57">
        <v>2</v>
      </c>
      <c r="B307" s="208" t="s">
        <v>448</v>
      </c>
      <c r="C307" s="15" t="s">
        <v>4</v>
      </c>
      <c r="D307" s="15">
        <f>D98</f>
        <v>80696.30017599999</v>
      </c>
      <c r="E307" s="15">
        <f>E98</f>
        <v>72488.692299950635</v>
      </c>
      <c r="F307" s="15">
        <f>F98</f>
        <v>72853.655557237638</v>
      </c>
      <c r="G307" s="15">
        <f>G98</f>
        <v>87985.03167726114</v>
      </c>
      <c r="H307" s="15">
        <v>72729.561064074645</v>
      </c>
      <c r="I307" s="225">
        <v>75962.390053372757</v>
      </c>
      <c r="J307" s="312">
        <f>G307-F307</f>
        <v>15131.376120023502</v>
      </c>
      <c r="K307" s="282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</row>
    <row r="308" spans="1:30" s="5" customFormat="1">
      <c r="A308" s="57">
        <v>3</v>
      </c>
      <c r="B308" s="208" t="s">
        <v>250</v>
      </c>
      <c r="C308" s="15" t="s">
        <v>4</v>
      </c>
      <c r="D308" s="15">
        <f>D144</f>
        <v>14242.279999999997</v>
      </c>
      <c r="E308" s="15">
        <f>E144</f>
        <v>8753.0501413199672</v>
      </c>
      <c r="F308" s="15">
        <f>F144</f>
        <v>8103.5618378660211</v>
      </c>
      <c r="G308" s="15">
        <f>G144</f>
        <v>11375.25105024</v>
      </c>
      <c r="H308" s="15">
        <v>8712.9055166316721</v>
      </c>
      <c r="I308" s="225">
        <v>8972.8355178534912</v>
      </c>
      <c r="J308" s="312">
        <f t="shared" ref="J308:J309" si="10">G308-F308</f>
        <v>3271.689212373979</v>
      </c>
      <c r="K308" s="282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</row>
    <row r="309" spans="1:30" s="5" customFormat="1" ht="25.5">
      <c r="A309" s="57">
        <v>4</v>
      </c>
      <c r="B309" s="208" t="s">
        <v>449</v>
      </c>
      <c r="C309" s="15" t="s">
        <v>4</v>
      </c>
      <c r="D309" s="15">
        <f>D166</f>
        <v>150314.85916792401</v>
      </c>
      <c r="E309" s="15">
        <f>E166</f>
        <v>202004.44401374744</v>
      </c>
      <c r="F309" s="15">
        <f>F166+F256</f>
        <v>208742.52749395769</v>
      </c>
      <c r="G309" s="15">
        <f>G166+G256</f>
        <v>216699.4577314824</v>
      </c>
      <c r="H309" s="15">
        <v>212538.68182524061</v>
      </c>
      <c r="I309" s="225">
        <v>227330.5942538215</v>
      </c>
      <c r="J309" s="312">
        <f t="shared" si="10"/>
        <v>7956.9302375247062</v>
      </c>
      <c r="K309" s="282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</row>
    <row r="310" spans="1:30" s="5" customFormat="1">
      <c r="A310" s="57">
        <v>5</v>
      </c>
      <c r="B310" s="208" t="s">
        <v>8</v>
      </c>
      <c r="C310" s="15" t="s">
        <v>4</v>
      </c>
      <c r="D310" s="15">
        <v>0</v>
      </c>
      <c r="E310" s="15">
        <v>0</v>
      </c>
      <c r="F310" s="29">
        <v>0</v>
      </c>
      <c r="G310" s="15">
        <v>0</v>
      </c>
      <c r="H310" s="29">
        <v>0</v>
      </c>
      <c r="I310" s="337">
        <v>0</v>
      </c>
      <c r="J310" s="319"/>
      <c r="K310" s="282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</row>
    <row r="311" spans="1:30" s="13" customFormat="1" ht="38.25">
      <c r="A311" s="204">
        <v>6</v>
      </c>
      <c r="B311" s="207" t="s">
        <v>450</v>
      </c>
      <c r="C311" s="17" t="s">
        <v>4</v>
      </c>
      <c r="D311" s="18">
        <f>D290</f>
        <v>0</v>
      </c>
      <c r="E311" s="18">
        <f>E290</f>
        <v>0</v>
      </c>
      <c r="F311" s="18">
        <v>0</v>
      </c>
      <c r="G311" s="18">
        <f>G290</f>
        <v>3624.106622499995</v>
      </c>
      <c r="H311" s="18">
        <v>0</v>
      </c>
      <c r="I311" s="343">
        <v>0</v>
      </c>
      <c r="J311" s="320">
        <f>G311-F311</f>
        <v>3624.106622499995</v>
      </c>
      <c r="K311" s="287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</row>
    <row r="312" spans="1:30" s="5" customFormat="1" ht="51" hidden="1">
      <c r="A312" s="57" t="s">
        <v>138</v>
      </c>
      <c r="B312" s="208" t="s">
        <v>451</v>
      </c>
      <c r="C312" s="15" t="s">
        <v>4</v>
      </c>
      <c r="D312" s="29"/>
      <c r="E312" s="29"/>
      <c r="F312" s="29"/>
      <c r="G312" s="29"/>
      <c r="H312" s="29"/>
      <c r="I312" s="337"/>
      <c r="J312" s="319"/>
      <c r="K312" s="282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</row>
    <row r="313" spans="1:30" s="5" customFormat="1" ht="25.5" hidden="1">
      <c r="A313" s="57" t="s">
        <v>387</v>
      </c>
      <c r="B313" s="208" t="s">
        <v>452</v>
      </c>
      <c r="C313" s="15" t="s">
        <v>4</v>
      </c>
      <c r="D313" s="29"/>
      <c r="E313" s="29"/>
      <c r="F313" s="29"/>
      <c r="G313" s="29"/>
      <c r="H313" s="29"/>
      <c r="I313" s="337"/>
      <c r="J313" s="319"/>
      <c r="K313" s="282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</row>
    <row r="314" spans="1:30" s="5" customFormat="1" ht="25.5" hidden="1">
      <c r="A314" s="57" t="s">
        <v>389</v>
      </c>
      <c r="B314" s="208" t="s">
        <v>453</v>
      </c>
      <c r="C314" s="59" t="s">
        <v>4</v>
      </c>
      <c r="D314" s="29"/>
      <c r="E314" s="29"/>
      <c r="F314" s="29"/>
      <c r="G314" s="29"/>
      <c r="H314" s="29"/>
      <c r="I314" s="337"/>
      <c r="J314" s="319"/>
      <c r="K314" s="282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</row>
    <row r="315" spans="1:30" s="5" customFormat="1" ht="76.5" hidden="1">
      <c r="A315" s="57" t="s">
        <v>391</v>
      </c>
      <c r="B315" s="208" t="s">
        <v>454</v>
      </c>
      <c r="C315" s="59" t="s">
        <v>4</v>
      </c>
      <c r="D315" s="29"/>
      <c r="E315" s="29"/>
      <c r="F315" s="29"/>
      <c r="G315" s="29"/>
      <c r="H315" s="29"/>
      <c r="I315" s="337"/>
      <c r="J315" s="319"/>
      <c r="K315" s="282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</row>
    <row r="316" spans="1:30" s="13" customFormat="1">
      <c r="A316" s="204" t="s">
        <v>138</v>
      </c>
      <c r="B316" s="207" t="s">
        <v>455</v>
      </c>
      <c r="C316" s="39" t="s">
        <v>4</v>
      </c>
      <c r="D316" s="17">
        <f>D307+D308+D309+D311</f>
        <v>245253.43934392399</v>
      </c>
      <c r="E316" s="17">
        <f>E307+E308+E309+E311</f>
        <v>283246.18645501806</v>
      </c>
      <c r="F316" s="17">
        <f>F307+F308+F309+F311</f>
        <v>289699.74488906132</v>
      </c>
      <c r="G316" s="17">
        <f>G307+G308+G309+G311</f>
        <v>319683.84708148352</v>
      </c>
      <c r="H316" s="17">
        <v>293981.14840594691</v>
      </c>
      <c r="I316" s="340">
        <v>312265.81982504774</v>
      </c>
      <c r="J316" s="318">
        <f>G316-F316</f>
        <v>29984.1021924222</v>
      </c>
      <c r="K316" s="287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</row>
    <row r="317" spans="1:30" s="5" customFormat="1" hidden="1">
      <c r="A317" s="57" t="s">
        <v>415</v>
      </c>
      <c r="B317" s="208" t="s">
        <v>456</v>
      </c>
      <c r="C317" s="59" t="s">
        <v>4</v>
      </c>
      <c r="D317" s="33"/>
      <c r="E317" s="33"/>
      <c r="F317" s="35"/>
      <c r="G317" s="33"/>
      <c r="H317" s="35"/>
      <c r="I317" s="341"/>
      <c r="J317" s="324"/>
      <c r="K317" s="282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</row>
    <row r="318" spans="1:30" s="13" customFormat="1">
      <c r="A318" s="204" t="s">
        <v>387</v>
      </c>
      <c r="B318" s="207" t="s">
        <v>457</v>
      </c>
      <c r="C318" s="39" t="s">
        <v>322</v>
      </c>
      <c r="D318" s="54">
        <f>D316/D32*1000</f>
        <v>893.00620942449325</v>
      </c>
      <c r="E318" s="54">
        <f>E316/E32*1000</f>
        <v>998.74263792580632</v>
      </c>
      <c r="F318" s="54">
        <f>F316/F32*1000</f>
        <v>1063.5022151401763</v>
      </c>
      <c r="G318" s="54">
        <f>G316/G32*1000</f>
        <v>1173.5753500434942</v>
      </c>
      <c r="H318" s="54">
        <v>1046.0528291922324</v>
      </c>
      <c r="I318" s="351">
        <v>1111.1139134573684</v>
      </c>
      <c r="J318" s="330">
        <f>G318-F318</f>
        <v>110.07313490331785</v>
      </c>
      <c r="K318" s="287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</row>
    <row r="319" spans="1:30" s="5" customFormat="1" hidden="1">
      <c r="A319" s="189" t="s">
        <v>423</v>
      </c>
      <c r="B319" s="58" t="s">
        <v>458</v>
      </c>
      <c r="C319" s="59" t="s">
        <v>3</v>
      </c>
      <c r="D319" s="23"/>
      <c r="E319" s="23"/>
      <c r="F319" s="23"/>
      <c r="G319" s="23"/>
      <c r="H319" s="23"/>
      <c r="I319" s="230"/>
      <c r="J319" s="315"/>
      <c r="K319" s="282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</row>
    <row r="320" spans="1:30" s="5" customFormat="1" ht="25.5" hidden="1">
      <c r="A320" s="189" t="s">
        <v>459</v>
      </c>
      <c r="B320" s="58" t="s">
        <v>460</v>
      </c>
      <c r="C320" s="59" t="s">
        <v>4</v>
      </c>
      <c r="D320" s="35"/>
      <c r="E320" s="35"/>
      <c r="F320" s="35"/>
      <c r="G320" s="35"/>
      <c r="H320" s="35"/>
      <c r="I320" s="341"/>
      <c r="J320" s="324"/>
      <c r="K320" s="282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</row>
    <row r="321" spans="1:30" s="5" customFormat="1" ht="38.25" hidden="1">
      <c r="A321" s="189" t="s">
        <v>461</v>
      </c>
      <c r="B321" s="58" t="s">
        <v>462</v>
      </c>
      <c r="C321" s="59" t="s">
        <v>4</v>
      </c>
      <c r="D321" s="35"/>
      <c r="E321" s="35"/>
      <c r="F321" s="35"/>
      <c r="G321" s="35"/>
      <c r="H321" s="35"/>
      <c r="I321" s="341"/>
      <c r="J321" s="324"/>
      <c r="K321" s="282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</row>
    <row r="322" spans="1:30" s="13" customFormat="1" ht="13.5">
      <c r="A322" s="37" t="s">
        <v>389</v>
      </c>
      <c r="B322" s="202" t="s">
        <v>168</v>
      </c>
      <c r="C322" s="39" t="s">
        <v>4</v>
      </c>
      <c r="D322" s="55">
        <f>D323</f>
        <v>11328.1</v>
      </c>
      <c r="E322" s="55">
        <f>E323</f>
        <v>7473.4537341055675</v>
      </c>
      <c r="F322" s="55">
        <f>F323</f>
        <v>7716.9</v>
      </c>
      <c r="G322" s="55">
        <f>G323</f>
        <v>8025.576</v>
      </c>
      <c r="H322" s="55">
        <v>7494.7052613115566</v>
      </c>
      <c r="I322" s="352">
        <v>7827.8449101768547</v>
      </c>
      <c r="J322" s="331">
        <f>G322-F322</f>
        <v>308.67600000000039</v>
      </c>
      <c r="K322" s="287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</row>
    <row r="323" spans="1:30" s="5" customFormat="1" ht="38.25">
      <c r="A323" s="57" t="s">
        <v>463</v>
      </c>
      <c r="B323" s="177" t="s">
        <v>464</v>
      </c>
      <c r="C323" s="59" t="s">
        <v>4</v>
      </c>
      <c r="D323" s="167">
        <v>11328.1</v>
      </c>
      <c r="E323" s="167">
        <f>'[1]ТЭ 17'!$E$323</f>
        <v>7473.4537341055675</v>
      </c>
      <c r="F323" s="15">
        <v>7716.9</v>
      </c>
      <c r="G323" s="167">
        <f>F323*1.04</f>
        <v>8025.576</v>
      </c>
      <c r="H323" s="15">
        <v>7494.7052613115566</v>
      </c>
      <c r="I323" s="225">
        <v>7827.8449101768547</v>
      </c>
      <c r="J323" s="324">
        <f t="shared" ref="J323:J324" si="11">G323-F323</f>
        <v>308.67600000000039</v>
      </c>
      <c r="K323" s="282" t="s">
        <v>589</v>
      </c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</row>
    <row r="324" spans="1:30" s="13" customFormat="1">
      <c r="A324" s="204" t="s">
        <v>391</v>
      </c>
      <c r="B324" s="207" t="s">
        <v>250</v>
      </c>
      <c r="C324" s="39" t="s">
        <v>4</v>
      </c>
      <c r="D324" s="82">
        <f>D325</f>
        <v>0</v>
      </c>
      <c r="E324" s="82">
        <f>E325</f>
        <v>0</v>
      </c>
      <c r="F324" s="82">
        <f>F325</f>
        <v>0</v>
      </c>
      <c r="G324" s="82">
        <f>G325</f>
        <v>0</v>
      </c>
      <c r="H324" s="55">
        <v>1933.06205</v>
      </c>
      <c r="I324" s="352">
        <v>1933.06205</v>
      </c>
      <c r="J324" s="331">
        <f t="shared" si="11"/>
        <v>0</v>
      </c>
      <c r="K324" s="287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</row>
    <row r="325" spans="1:30" s="5" customFormat="1">
      <c r="A325" s="57" t="s">
        <v>465</v>
      </c>
      <c r="B325" s="177" t="s">
        <v>281</v>
      </c>
      <c r="C325" s="59" t="s">
        <v>4</v>
      </c>
      <c r="D325" s="35">
        <v>0</v>
      </c>
      <c r="E325" s="35">
        <f>'[1]ТЭ 17'!$E$325</f>
        <v>0</v>
      </c>
      <c r="F325" s="35">
        <v>0</v>
      </c>
      <c r="G325" s="35">
        <v>0</v>
      </c>
      <c r="H325" s="35">
        <v>1933.06205</v>
      </c>
      <c r="I325" s="341">
        <v>1933.06205</v>
      </c>
      <c r="J325" s="324">
        <f>G325-F325</f>
        <v>0</v>
      </c>
      <c r="K325" s="307"/>
      <c r="L325" s="56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</row>
    <row r="326" spans="1:30" s="5" customFormat="1" ht="27">
      <c r="A326" s="57" t="s">
        <v>395</v>
      </c>
      <c r="B326" s="248" t="s">
        <v>288</v>
      </c>
      <c r="C326" s="59" t="s">
        <v>4</v>
      </c>
      <c r="D326" s="35">
        <f>D327+D328</f>
        <v>295621.21934392396</v>
      </c>
      <c r="E326" s="35">
        <f>E327+E328</f>
        <v>312197.52036114084</v>
      </c>
      <c r="F326" s="35">
        <f>F327+F328</f>
        <v>318286.14488906134</v>
      </c>
      <c r="G326" s="35">
        <f>G327+G328</f>
        <v>390946.76329636131</v>
      </c>
      <c r="H326" s="35">
        <v>321497.46745079476</v>
      </c>
      <c r="I326" s="341">
        <v>341340.94610748847</v>
      </c>
      <c r="J326" s="324">
        <f>G326-F326</f>
        <v>72660.618407299975</v>
      </c>
      <c r="K326" s="282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</row>
    <row r="327" spans="1:30" s="4" customFormat="1" ht="58.5" customHeight="1">
      <c r="A327" s="57" t="s">
        <v>372</v>
      </c>
      <c r="B327" s="58" t="s">
        <v>466</v>
      </c>
      <c r="C327" s="59" t="s">
        <v>4</v>
      </c>
      <c r="D327" s="35">
        <v>50367.78</v>
      </c>
      <c r="E327" s="35">
        <f>'[1]ТЭ 17'!$E$327</f>
        <v>28951.333906122745</v>
      </c>
      <c r="F327" s="35">
        <v>28586.400000000001</v>
      </c>
      <c r="G327" s="73">
        <f>'[2]НВВ ПБТР 19'!$I$315</f>
        <v>71262.916214877798</v>
      </c>
      <c r="H327" s="277">
        <v>27516.319044847871</v>
      </c>
      <c r="I327" s="341">
        <v>29075.126282440702</v>
      </c>
      <c r="J327" s="324">
        <f>G327-F327</f>
        <v>42676.516214877796</v>
      </c>
      <c r="K327" s="308" t="s">
        <v>606</v>
      </c>
    </row>
    <row r="328" spans="1:30" s="5" customFormat="1">
      <c r="A328" s="57" t="s">
        <v>374</v>
      </c>
      <c r="B328" s="58" t="s">
        <v>467</v>
      </c>
      <c r="C328" s="59" t="s">
        <v>4</v>
      </c>
      <c r="D328" s="35">
        <f>D316</f>
        <v>245253.43934392399</v>
      </c>
      <c r="E328" s="35">
        <f>E316</f>
        <v>283246.18645501806</v>
      </c>
      <c r="F328" s="35">
        <f>F316</f>
        <v>289699.74488906132</v>
      </c>
      <c r="G328" s="35">
        <f>G316</f>
        <v>319683.84708148352</v>
      </c>
      <c r="H328" s="35">
        <v>293981.14840594691</v>
      </c>
      <c r="I328" s="341">
        <v>312265.8198250478</v>
      </c>
      <c r="J328" s="324">
        <f>G328-F328</f>
        <v>29984.1021924222</v>
      </c>
      <c r="K328" s="282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</row>
    <row r="329" spans="1:30" s="13" customFormat="1">
      <c r="A329" s="204" t="s">
        <v>415</v>
      </c>
      <c r="B329" s="207" t="s">
        <v>455</v>
      </c>
      <c r="C329" s="39" t="s">
        <v>4</v>
      </c>
      <c r="D329" s="55">
        <f>D326+D324+D322</f>
        <v>306949.31934392394</v>
      </c>
      <c r="E329" s="55">
        <f>E326+E324+E322</f>
        <v>319670.97409524641</v>
      </c>
      <c r="F329" s="55">
        <f>F326+F324+F322</f>
        <v>326003.04488906136</v>
      </c>
      <c r="G329" s="55">
        <f>G326+G324+G322</f>
        <v>398972.33929636132</v>
      </c>
      <c r="H329" s="55">
        <v>330925.23476210632</v>
      </c>
      <c r="I329" s="352">
        <v>351101.85306766536</v>
      </c>
      <c r="J329" s="331">
        <f t="shared" ref="J329:J332" si="12">G329-F329</f>
        <v>72969.294407299953</v>
      </c>
      <c r="K329" s="309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</row>
    <row r="330" spans="1:30" s="276" customFormat="1" ht="25.5">
      <c r="A330" s="204" t="s">
        <v>415</v>
      </c>
      <c r="B330" s="207" t="s">
        <v>608</v>
      </c>
      <c r="C330" s="39" t="s">
        <v>4</v>
      </c>
      <c r="D330" s="55"/>
      <c r="E330" s="55"/>
      <c r="F330" s="55">
        <v>0</v>
      </c>
      <c r="G330" s="55">
        <f>16000+1206.55+3750+4254.892+20000</f>
        <v>45211.441999999995</v>
      </c>
      <c r="H330" s="55"/>
      <c r="I330" s="352"/>
      <c r="J330" s="331"/>
      <c r="K330" s="282" t="s">
        <v>609</v>
      </c>
    </row>
    <row r="331" spans="1:30" s="13" customFormat="1" ht="38.25">
      <c r="A331" s="204" t="s">
        <v>423</v>
      </c>
      <c r="B331" s="207" t="s">
        <v>468</v>
      </c>
      <c r="C331" s="39" t="s">
        <v>4</v>
      </c>
      <c r="D331" s="55">
        <v>0</v>
      </c>
      <c r="E331" s="55">
        <f>'[1]ТЭ 17'!$E$330</f>
        <v>5574.8035231003842</v>
      </c>
      <c r="F331" s="55">
        <v>4246.1000000000004</v>
      </c>
      <c r="G331" s="55">
        <f>(G316+G323-G174-G168)*5%</f>
        <v>6861.2040240317774</v>
      </c>
      <c r="H331" s="55">
        <v>5481.2477133674029</v>
      </c>
      <c r="I331" s="352">
        <v>5754.9746853167208</v>
      </c>
      <c r="J331" s="331">
        <f t="shared" si="12"/>
        <v>2615.104024031777</v>
      </c>
      <c r="K331" s="283" t="s">
        <v>565</v>
      </c>
      <c r="L331" s="361"/>
      <c r="M331" s="361"/>
      <c r="N331" s="361"/>
      <c r="O331" s="361"/>
      <c r="P331" s="361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</row>
    <row r="332" spans="1:30" s="13" customFormat="1" ht="25.5">
      <c r="A332" s="204" t="s">
        <v>459</v>
      </c>
      <c r="B332" s="207" t="s">
        <v>469</v>
      </c>
      <c r="C332" s="39" t="s">
        <v>4</v>
      </c>
      <c r="D332" s="55">
        <f>D331+D329</f>
        <v>306949.31934392394</v>
      </c>
      <c r="E332" s="55">
        <f>E331+E329</f>
        <v>325245.77761834679</v>
      </c>
      <c r="F332" s="55">
        <f>F331+F329+F330</f>
        <v>330249.14488906134</v>
      </c>
      <c r="G332" s="55">
        <f>G331+G329+G330</f>
        <v>451044.98532039305</v>
      </c>
      <c r="H332" s="55">
        <v>336406.48247547372</v>
      </c>
      <c r="I332" s="352">
        <v>356856.82775298209</v>
      </c>
      <c r="J332" s="331">
        <f t="shared" si="12"/>
        <v>120795.84043133172</v>
      </c>
      <c r="K332" s="287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</row>
    <row r="333" spans="1:30" s="5" customFormat="1">
      <c r="A333" s="204" t="s">
        <v>461</v>
      </c>
      <c r="B333" s="207" t="s">
        <v>470</v>
      </c>
      <c r="C333" s="59" t="s">
        <v>2</v>
      </c>
      <c r="D333" s="35">
        <f>D334+D335+D336</f>
        <v>237643</v>
      </c>
      <c r="E333" s="35">
        <f>E334+E335+E336</f>
        <v>246749.77783199999</v>
      </c>
      <c r="F333" s="35">
        <f>F334+F335+F336</f>
        <v>235548.63750000001</v>
      </c>
      <c r="G333" s="35">
        <f>G334+G335+G336</f>
        <v>235548.63750000001</v>
      </c>
      <c r="H333" s="35">
        <v>244185.52903199999</v>
      </c>
      <c r="I333" s="341">
        <v>244185.52903199999</v>
      </c>
      <c r="J333" s="324">
        <f>G333-F333</f>
        <v>0</v>
      </c>
      <c r="K333" s="282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</row>
    <row r="334" spans="1:30" s="5" customFormat="1">
      <c r="A334" s="57" t="s">
        <v>397</v>
      </c>
      <c r="B334" s="208" t="s">
        <v>471</v>
      </c>
      <c r="C334" s="59" t="s">
        <v>2</v>
      </c>
      <c r="D334" s="35">
        <f>D34</f>
        <v>203283</v>
      </c>
      <c r="E334" s="167">
        <f>E34</f>
        <v>209480.77783199999</v>
      </c>
      <c r="F334" s="167">
        <f>F34</f>
        <v>199126.73749999999</v>
      </c>
      <c r="G334" s="35">
        <f>G34</f>
        <v>199126.73749999999</v>
      </c>
      <c r="H334" s="35">
        <v>206916.52903199999</v>
      </c>
      <c r="I334" s="341">
        <v>206916.52903199999</v>
      </c>
      <c r="J334" s="324">
        <f t="shared" ref="J334:J336" si="13">G334-F334</f>
        <v>0</v>
      </c>
      <c r="K334" s="282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</row>
    <row r="335" spans="1:30" s="5" customFormat="1">
      <c r="A335" s="57" t="s">
        <v>472</v>
      </c>
      <c r="B335" s="208" t="s">
        <v>473</v>
      </c>
      <c r="C335" s="59" t="s">
        <v>2</v>
      </c>
      <c r="D335" s="35">
        <f>D44</f>
        <v>19986</v>
      </c>
      <c r="E335" s="167">
        <f>E44</f>
        <v>21060.000000000004</v>
      </c>
      <c r="F335" s="167">
        <f>F44</f>
        <v>20614.6266666667</v>
      </c>
      <c r="G335" s="35">
        <f>G44</f>
        <v>20614.6266666667</v>
      </c>
      <c r="H335" s="35">
        <v>21060.000000000004</v>
      </c>
      <c r="I335" s="341">
        <v>21060.000000000004</v>
      </c>
      <c r="J335" s="324">
        <f t="shared" si="13"/>
        <v>0</v>
      </c>
      <c r="K335" s="282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</row>
    <row r="336" spans="1:30" s="5" customFormat="1" ht="38.25">
      <c r="A336" s="57" t="s">
        <v>400</v>
      </c>
      <c r="B336" s="208" t="s">
        <v>474</v>
      </c>
      <c r="C336" s="59" t="s">
        <v>2</v>
      </c>
      <c r="D336" s="35">
        <v>14374</v>
      </c>
      <c r="E336" s="167">
        <f>'[1]ТЭ 17'!$E$335</f>
        <v>16209</v>
      </c>
      <c r="F336" s="167">
        <f>F47-36853</f>
        <v>15807.273333333302</v>
      </c>
      <c r="G336" s="35">
        <f>F336</f>
        <v>15807.273333333302</v>
      </c>
      <c r="H336" s="35">
        <v>16209</v>
      </c>
      <c r="I336" s="341">
        <v>16209</v>
      </c>
      <c r="J336" s="324">
        <f t="shared" si="13"/>
        <v>0</v>
      </c>
      <c r="K336" s="282" t="s">
        <v>607</v>
      </c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</row>
    <row r="337" spans="1:30" s="5" customFormat="1" ht="13.5" thickBot="1">
      <c r="A337" s="249" t="s">
        <v>410</v>
      </c>
      <c r="B337" s="250" t="s">
        <v>457</v>
      </c>
      <c r="C337" s="251" t="s">
        <v>322</v>
      </c>
      <c r="D337" s="80">
        <f>D332/D333*1000</f>
        <v>1291.6404831782293</v>
      </c>
      <c r="E337" s="80">
        <f>E332/E333*1000</f>
        <v>1318.1198397665466</v>
      </c>
      <c r="F337" s="80">
        <f>F332/F333*1000</f>
        <v>1402.042263517917</v>
      </c>
      <c r="G337" s="80">
        <f>G332/G333*1000</f>
        <v>1914.8698549376795</v>
      </c>
      <c r="H337" s="80">
        <f>H332/H333*1000</f>
        <v>1377.6675620748533</v>
      </c>
      <c r="I337" s="353">
        <v>1461.4167725975965</v>
      </c>
      <c r="J337" s="332"/>
      <c r="K337" s="310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</row>
    <row r="338" spans="1:30" s="5" customFormat="1" hidden="1">
      <c r="A338" s="60"/>
      <c r="B338" s="61"/>
      <c r="C338" s="62"/>
      <c r="D338" s="63"/>
      <c r="E338" s="64"/>
      <c r="F338" s="81"/>
      <c r="G338" s="254"/>
      <c r="H338" s="64"/>
      <c r="I338" s="64"/>
      <c r="J338" s="65"/>
      <c r="K338" s="172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</row>
    <row r="339" spans="1:30" s="5" customFormat="1" hidden="1">
      <c r="A339" s="66"/>
      <c r="B339" s="67"/>
      <c r="C339" s="45"/>
      <c r="D339" s="14"/>
      <c r="E339" s="22"/>
      <c r="F339" s="23"/>
      <c r="G339" s="193"/>
      <c r="H339" s="22"/>
      <c r="I339" s="22"/>
      <c r="J339" s="65"/>
      <c r="K339" s="172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</row>
    <row r="340" spans="1:30" s="5" customFormat="1" ht="39.75" customHeight="1">
      <c r="A340" s="68"/>
      <c r="C340" s="69"/>
      <c r="D340" s="9"/>
      <c r="E340" s="70"/>
      <c r="F340" s="10"/>
      <c r="G340" s="11"/>
      <c r="H340" s="70"/>
      <c r="I340" s="70"/>
      <c r="J340" s="10"/>
      <c r="K340" s="172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</row>
    <row r="341" spans="1:30" s="5" customFormat="1">
      <c r="A341" s="68"/>
      <c r="B341" s="5" t="s">
        <v>611</v>
      </c>
      <c r="C341" s="69"/>
      <c r="D341" s="9"/>
      <c r="E341" s="70"/>
      <c r="F341" s="10"/>
      <c r="G341" s="11" t="s">
        <v>612</v>
      </c>
      <c r="H341" s="70"/>
      <c r="I341" s="70"/>
      <c r="J341" s="10"/>
      <c r="K341" s="172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</row>
    <row r="342" spans="1:30" s="5" customFormat="1">
      <c r="A342" s="68"/>
      <c r="C342" s="69"/>
      <c r="D342" s="9"/>
      <c r="E342" s="70"/>
      <c r="F342" s="10"/>
      <c r="G342" s="11"/>
      <c r="H342" s="70"/>
      <c r="I342" s="70"/>
      <c r="J342" s="10"/>
      <c r="K342" s="172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</row>
    <row r="343" spans="1:30" s="5" customFormat="1">
      <c r="A343" s="68"/>
      <c r="C343" s="69"/>
      <c r="D343" s="9"/>
      <c r="E343" s="70"/>
      <c r="F343" s="10"/>
      <c r="G343" s="11"/>
      <c r="H343" s="70">
        <f>H337/E337</f>
        <v>1.0451762582671187</v>
      </c>
      <c r="I343" s="70"/>
      <c r="J343" s="10"/>
      <c r="K343" s="172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</row>
    <row r="344" spans="1:30" s="5" customFormat="1">
      <c r="A344" s="68"/>
      <c r="C344" s="69"/>
      <c r="D344" s="9"/>
      <c r="E344" s="70"/>
      <c r="F344" s="10"/>
      <c r="G344" s="11"/>
      <c r="H344" s="70"/>
      <c r="I344" s="70"/>
      <c r="J344" s="10"/>
      <c r="K344" s="172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</row>
    <row r="345" spans="1:30" s="5" customFormat="1">
      <c r="A345" s="68"/>
      <c r="C345" s="69"/>
      <c r="D345" s="9"/>
      <c r="E345" s="70"/>
      <c r="F345" s="10"/>
      <c r="G345" s="11"/>
      <c r="H345" s="70"/>
      <c r="I345" s="70"/>
      <c r="J345" s="10"/>
      <c r="K345" s="172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</row>
    <row r="346" spans="1:30" s="5" customFormat="1">
      <c r="A346" s="68"/>
      <c r="C346" s="69"/>
      <c r="D346" s="9"/>
      <c r="E346" s="70"/>
      <c r="F346" s="10"/>
      <c r="G346" s="11"/>
      <c r="H346" s="70"/>
      <c r="I346" s="70"/>
      <c r="J346" s="10"/>
      <c r="K346" s="172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</row>
    <row r="347" spans="1:30" s="5" customFormat="1">
      <c r="A347" s="68"/>
      <c r="C347" s="69"/>
      <c r="D347" s="9"/>
      <c r="E347" s="70"/>
      <c r="F347" s="10"/>
      <c r="G347" s="11"/>
      <c r="H347" s="70"/>
      <c r="I347" s="70"/>
      <c r="J347" s="10"/>
      <c r="K347" s="172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</row>
    <row r="348" spans="1:30" s="5" customFormat="1">
      <c r="A348" s="68"/>
      <c r="C348" s="69"/>
      <c r="D348" s="9"/>
      <c r="E348" s="70"/>
      <c r="F348" s="10"/>
      <c r="G348" s="11"/>
      <c r="H348" s="70"/>
      <c r="I348" s="70"/>
      <c r="J348" s="10"/>
      <c r="K348" s="172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</row>
    <row r="349" spans="1:30" s="5" customFormat="1">
      <c r="A349" s="68"/>
      <c r="C349" s="69"/>
      <c r="D349" s="9"/>
      <c r="E349" s="70"/>
      <c r="F349" s="10"/>
      <c r="G349" s="11"/>
      <c r="H349" s="70"/>
      <c r="I349" s="70"/>
      <c r="J349" s="10"/>
      <c r="K349" s="172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</row>
    <row r="350" spans="1:30" s="5" customFormat="1">
      <c r="A350" s="68"/>
      <c r="C350" s="69"/>
      <c r="D350" s="9"/>
      <c r="E350" s="70"/>
      <c r="F350" s="10"/>
      <c r="G350" s="11"/>
      <c r="H350" s="70"/>
      <c r="I350" s="70"/>
      <c r="J350" s="10"/>
      <c r="K350" s="172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</row>
    <row r="351" spans="1:30" s="5" customFormat="1">
      <c r="A351" s="68"/>
      <c r="C351" s="69"/>
      <c r="D351" s="9"/>
      <c r="E351" s="70"/>
      <c r="F351" s="10"/>
      <c r="G351" s="11"/>
      <c r="H351" s="70"/>
      <c r="I351" s="70"/>
      <c r="J351" s="10"/>
      <c r="K351" s="172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</row>
  </sheetData>
  <mergeCells count="20">
    <mergeCell ref="K6:K7"/>
    <mergeCell ref="A1:D1"/>
    <mergeCell ref="A2:I2"/>
    <mergeCell ref="A5:C5"/>
    <mergeCell ref="A6:A7"/>
    <mergeCell ref="B6:B7"/>
    <mergeCell ref="C6:C7"/>
    <mergeCell ref="D6:D7"/>
    <mergeCell ref="E6:E7"/>
    <mergeCell ref="F6:F7"/>
    <mergeCell ref="G6:G7"/>
    <mergeCell ref="H6:I6"/>
    <mergeCell ref="J6:J7"/>
    <mergeCell ref="A4:K4"/>
    <mergeCell ref="B8:I8"/>
    <mergeCell ref="B90:I90"/>
    <mergeCell ref="L151:L153"/>
    <mergeCell ref="L331:P331"/>
    <mergeCell ref="M229:N229"/>
    <mergeCell ref="K140:K143"/>
  </mergeCells>
  <pageMargins left="0.70866141732283472" right="0" top="0" bottom="0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50"/>
  <sheetViews>
    <sheetView tabSelected="1" topLeftCell="A17" zoomScale="90" zoomScaleNormal="90" workbookViewId="0">
      <selection activeCell="A2" sqref="A2"/>
    </sheetView>
  </sheetViews>
  <sheetFormatPr defaultRowHeight="15"/>
  <cols>
    <col min="1" max="1" width="7.140625" style="87" customWidth="1"/>
    <col min="2" max="2" width="41.85546875" style="84" customWidth="1"/>
    <col min="3" max="3" width="10.85546875" style="162" customWidth="1"/>
    <col min="4" max="4" width="13.85546875" style="83" hidden="1" customWidth="1"/>
    <col min="5" max="5" width="13.7109375" style="1" customWidth="1"/>
    <col min="6" max="6" width="15.85546875" style="1" customWidth="1"/>
    <col min="7" max="7" width="15.85546875" style="164" hidden="1" customWidth="1"/>
    <col min="8" max="8" width="16.5703125" style="163" hidden="1" customWidth="1"/>
    <col min="9" max="9" width="16.85546875" style="163" hidden="1" customWidth="1"/>
    <col min="10" max="10" width="16.85546875" style="162" hidden="1" customWidth="1"/>
    <col min="11" max="11" width="43.7109375" style="84" customWidth="1"/>
    <col min="12" max="246" width="9.140625" style="84"/>
    <col min="247" max="247" width="7.140625" style="84" customWidth="1"/>
    <col min="248" max="248" width="18.85546875" style="84" customWidth="1"/>
    <col min="249" max="249" width="10.85546875" style="84" customWidth="1"/>
    <col min="250" max="257" width="0" style="84" hidden="1" customWidth="1"/>
    <col min="258" max="258" width="14.7109375" style="84" customWidth="1"/>
    <col min="259" max="259" width="14.28515625" style="84" customWidth="1"/>
    <col min="260" max="260" width="59.28515625" style="84" customWidth="1"/>
    <col min="261" max="261" width="15.85546875" style="84" customWidth="1"/>
    <col min="262" max="262" width="56.42578125" style="84" customWidth="1"/>
    <col min="263" max="263" width="12.85546875" style="84" customWidth="1"/>
    <col min="264" max="264" width="16.5703125" style="84" customWidth="1"/>
    <col min="265" max="265" width="16.85546875" style="84" customWidth="1"/>
    <col min="266" max="502" width="9.140625" style="84"/>
    <col min="503" max="503" width="7.140625" style="84" customWidth="1"/>
    <col min="504" max="504" width="18.85546875" style="84" customWidth="1"/>
    <col min="505" max="505" width="10.85546875" style="84" customWidth="1"/>
    <col min="506" max="513" width="0" style="84" hidden="1" customWidth="1"/>
    <col min="514" max="514" width="14.7109375" style="84" customWidth="1"/>
    <col min="515" max="515" width="14.28515625" style="84" customWidth="1"/>
    <col min="516" max="516" width="59.28515625" style="84" customWidth="1"/>
    <col min="517" max="517" width="15.85546875" style="84" customWidth="1"/>
    <col min="518" max="518" width="56.42578125" style="84" customWidth="1"/>
    <col min="519" max="519" width="12.85546875" style="84" customWidth="1"/>
    <col min="520" max="520" width="16.5703125" style="84" customWidth="1"/>
    <col min="521" max="521" width="16.85546875" style="84" customWidth="1"/>
    <col min="522" max="758" width="9.140625" style="84"/>
    <col min="759" max="759" width="7.140625" style="84" customWidth="1"/>
    <col min="760" max="760" width="18.85546875" style="84" customWidth="1"/>
    <col min="761" max="761" width="10.85546875" style="84" customWidth="1"/>
    <col min="762" max="769" width="0" style="84" hidden="1" customWidth="1"/>
    <col min="770" max="770" width="14.7109375" style="84" customWidth="1"/>
    <col min="771" max="771" width="14.28515625" style="84" customWidth="1"/>
    <col min="772" max="772" width="59.28515625" style="84" customWidth="1"/>
    <col min="773" max="773" width="15.85546875" style="84" customWidth="1"/>
    <col min="774" max="774" width="56.42578125" style="84" customWidth="1"/>
    <col min="775" max="775" width="12.85546875" style="84" customWidth="1"/>
    <col min="776" max="776" width="16.5703125" style="84" customWidth="1"/>
    <col min="777" max="777" width="16.85546875" style="84" customWidth="1"/>
    <col min="778" max="1014" width="9.140625" style="84"/>
    <col min="1015" max="1015" width="7.140625" style="84" customWidth="1"/>
    <col min="1016" max="1016" width="18.85546875" style="84" customWidth="1"/>
    <col min="1017" max="1017" width="10.85546875" style="84" customWidth="1"/>
    <col min="1018" max="1025" width="0" style="84" hidden="1" customWidth="1"/>
    <col min="1026" max="1026" width="14.7109375" style="84" customWidth="1"/>
    <col min="1027" max="1027" width="14.28515625" style="84" customWidth="1"/>
    <col min="1028" max="1028" width="59.28515625" style="84" customWidth="1"/>
    <col min="1029" max="1029" width="15.85546875" style="84" customWidth="1"/>
    <col min="1030" max="1030" width="56.42578125" style="84" customWidth="1"/>
    <col min="1031" max="1031" width="12.85546875" style="84" customWidth="1"/>
    <col min="1032" max="1032" width="16.5703125" style="84" customWidth="1"/>
    <col min="1033" max="1033" width="16.85546875" style="84" customWidth="1"/>
    <col min="1034" max="1270" width="9.140625" style="84"/>
    <col min="1271" max="1271" width="7.140625" style="84" customWidth="1"/>
    <col min="1272" max="1272" width="18.85546875" style="84" customWidth="1"/>
    <col min="1273" max="1273" width="10.85546875" style="84" customWidth="1"/>
    <col min="1274" max="1281" width="0" style="84" hidden="1" customWidth="1"/>
    <col min="1282" max="1282" width="14.7109375" style="84" customWidth="1"/>
    <col min="1283" max="1283" width="14.28515625" style="84" customWidth="1"/>
    <col min="1284" max="1284" width="59.28515625" style="84" customWidth="1"/>
    <col min="1285" max="1285" width="15.85546875" style="84" customWidth="1"/>
    <col min="1286" max="1286" width="56.42578125" style="84" customWidth="1"/>
    <col min="1287" max="1287" width="12.85546875" style="84" customWidth="1"/>
    <col min="1288" max="1288" width="16.5703125" style="84" customWidth="1"/>
    <col min="1289" max="1289" width="16.85546875" style="84" customWidth="1"/>
    <col min="1290" max="1526" width="9.140625" style="84"/>
    <col min="1527" max="1527" width="7.140625" style="84" customWidth="1"/>
    <col min="1528" max="1528" width="18.85546875" style="84" customWidth="1"/>
    <col min="1529" max="1529" width="10.85546875" style="84" customWidth="1"/>
    <col min="1530" max="1537" width="0" style="84" hidden="1" customWidth="1"/>
    <col min="1538" max="1538" width="14.7109375" style="84" customWidth="1"/>
    <col min="1539" max="1539" width="14.28515625" style="84" customWidth="1"/>
    <col min="1540" max="1540" width="59.28515625" style="84" customWidth="1"/>
    <col min="1541" max="1541" width="15.85546875" style="84" customWidth="1"/>
    <col min="1542" max="1542" width="56.42578125" style="84" customWidth="1"/>
    <col min="1543" max="1543" width="12.85546875" style="84" customWidth="1"/>
    <col min="1544" max="1544" width="16.5703125" style="84" customWidth="1"/>
    <col min="1545" max="1545" width="16.85546875" style="84" customWidth="1"/>
    <col min="1546" max="1782" width="9.140625" style="84"/>
    <col min="1783" max="1783" width="7.140625" style="84" customWidth="1"/>
    <col min="1784" max="1784" width="18.85546875" style="84" customWidth="1"/>
    <col min="1785" max="1785" width="10.85546875" style="84" customWidth="1"/>
    <col min="1786" max="1793" width="0" style="84" hidden="1" customWidth="1"/>
    <col min="1794" max="1794" width="14.7109375" style="84" customWidth="1"/>
    <col min="1795" max="1795" width="14.28515625" style="84" customWidth="1"/>
    <col min="1796" max="1796" width="59.28515625" style="84" customWidth="1"/>
    <col min="1797" max="1797" width="15.85546875" style="84" customWidth="1"/>
    <col min="1798" max="1798" width="56.42578125" style="84" customWidth="1"/>
    <col min="1799" max="1799" width="12.85546875" style="84" customWidth="1"/>
    <col min="1800" max="1800" width="16.5703125" style="84" customWidth="1"/>
    <col min="1801" max="1801" width="16.85546875" style="84" customWidth="1"/>
    <col min="1802" max="2038" width="9.140625" style="84"/>
    <col min="2039" max="2039" width="7.140625" style="84" customWidth="1"/>
    <col min="2040" max="2040" width="18.85546875" style="84" customWidth="1"/>
    <col min="2041" max="2041" width="10.85546875" style="84" customWidth="1"/>
    <col min="2042" max="2049" width="0" style="84" hidden="1" customWidth="1"/>
    <col min="2050" max="2050" width="14.7109375" style="84" customWidth="1"/>
    <col min="2051" max="2051" width="14.28515625" style="84" customWidth="1"/>
    <col min="2052" max="2052" width="59.28515625" style="84" customWidth="1"/>
    <col min="2053" max="2053" width="15.85546875" style="84" customWidth="1"/>
    <col min="2054" max="2054" width="56.42578125" style="84" customWidth="1"/>
    <col min="2055" max="2055" width="12.85546875" style="84" customWidth="1"/>
    <col min="2056" max="2056" width="16.5703125" style="84" customWidth="1"/>
    <col min="2057" max="2057" width="16.85546875" style="84" customWidth="1"/>
    <col min="2058" max="2294" width="9.140625" style="84"/>
    <col min="2295" max="2295" width="7.140625" style="84" customWidth="1"/>
    <col min="2296" max="2296" width="18.85546875" style="84" customWidth="1"/>
    <col min="2297" max="2297" width="10.85546875" style="84" customWidth="1"/>
    <col min="2298" max="2305" width="0" style="84" hidden="1" customWidth="1"/>
    <col min="2306" max="2306" width="14.7109375" style="84" customWidth="1"/>
    <col min="2307" max="2307" width="14.28515625" style="84" customWidth="1"/>
    <col min="2308" max="2308" width="59.28515625" style="84" customWidth="1"/>
    <col min="2309" max="2309" width="15.85546875" style="84" customWidth="1"/>
    <col min="2310" max="2310" width="56.42578125" style="84" customWidth="1"/>
    <col min="2311" max="2311" width="12.85546875" style="84" customWidth="1"/>
    <col min="2312" max="2312" width="16.5703125" style="84" customWidth="1"/>
    <col min="2313" max="2313" width="16.85546875" style="84" customWidth="1"/>
    <col min="2314" max="2550" width="9.140625" style="84"/>
    <col min="2551" max="2551" width="7.140625" style="84" customWidth="1"/>
    <col min="2552" max="2552" width="18.85546875" style="84" customWidth="1"/>
    <col min="2553" max="2553" width="10.85546875" style="84" customWidth="1"/>
    <col min="2554" max="2561" width="0" style="84" hidden="1" customWidth="1"/>
    <col min="2562" max="2562" width="14.7109375" style="84" customWidth="1"/>
    <col min="2563" max="2563" width="14.28515625" style="84" customWidth="1"/>
    <col min="2564" max="2564" width="59.28515625" style="84" customWidth="1"/>
    <col min="2565" max="2565" width="15.85546875" style="84" customWidth="1"/>
    <col min="2566" max="2566" width="56.42578125" style="84" customWidth="1"/>
    <col min="2567" max="2567" width="12.85546875" style="84" customWidth="1"/>
    <col min="2568" max="2568" width="16.5703125" style="84" customWidth="1"/>
    <col min="2569" max="2569" width="16.85546875" style="84" customWidth="1"/>
    <col min="2570" max="2806" width="9.140625" style="84"/>
    <col min="2807" max="2807" width="7.140625" style="84" customWidth="1"/>
    <col min="2808" max="2808" width="18.85546875" style="84" customWidth="1"/>
    <col min="2809" max="2809" width="10.85546875" style="84" customWidth="1"/>
    <col min="2810" max="2817" width="0" style="84" hidden="1" customWidth="1"/>
    <col min="2818" max="2818" width="14.7109375" style="84" customWidth="1"/>
    <col min="2819" max="2819" width="14.28515625" style="84" customWidth="1"/>
    <col min="2820" max="2820" width="59.28515625" style="84" customWidth="1"/>
    <col min="2821" max="2821" width="15.85546875" style="84" customWidth="1"/>
    <col min="2822" max="2822" width="56.42578125" style="84" customWidth="1"/>
    <col min="2823" max="2823" width="12.85546875" style="84" customWidth="1"/>
    <col min="2824" max="2824" width="16.5703125" style="84" customWidth="1"/>
    <col min="2825" max="2825" width="16.85546875" style="84" customWidth="1"/>
    <col min="2826" max="3062" width="9.140625" style="84"/>
    <col min="3063" max="3063" width="7.140625" style="84" customWidth="1"/>
    <col min="3064" max="3064" width="18.85546875" style="84" customWidth="1"/>
    <col min="3065" max="3065" width="10.85546875" style="84" customWidth="1"/>
    <col min="3066" max="3073" width="0" style="84" hidden="1" customWidth="1"/>
    <col min="3074" max="3074" width="14.7109375" style="84" customWidth="1"/>
    <col min="3075" max="3075" width="14.28515625" style="84" customWidth="1"/>
    <col min="3076" max="3076" width="59.28515625" style="84" customWidth="1"/>
    <col min="3077" max="3077" width="15.85546875" style="84" customWidth="1"/>
    <col min="3078" max="3078" width="56.42578125" style="84" customWidth="1"/>
    <col min="3079" max="3079" width="12.85546875" style="84" customWidth="1"/>
    <col min="3080" max="3080" width="16.5703125" style="84" customWidth="1"/>
    <col min="3081" max="3081" width="16.85546875" style="84" customWidth="1"/>
    <col min="3082" max="3318" width="9.140625" style="84"/>
    <col min="3319" max="3319" width="7.140625" style="84" customWidth="1"/>
    <col min="3320" max="3320" width="18.85546875" style="84" customWidth="1"/>
    <col min="3321" max="3321" width="10.85546875" style="84" customWidth="1"/>
    <col min="3322" max="3329" width="0" style="84" hidden="1" customWidth="1"/>
    <col min="3330" max="3330" width="14.7109375" style="84" customWidth="1"/>
    <col min="3331" max="3331" width="14.28515625" style="84" customWidth="1"/>
    <col min="3332" max="3332" width="59.28515625" style="84" customWidth="1"/>
    <col min="3333" max="3333" width="15.85546875" style="84" customWidth="1"/>
    <col min="3334" max="3334" width="56.42578125" style="84" customWidth="1"/>
    <col min="3335" max="3335" width="12.85546875" style="84" customWidth="1"/>
    <col min="3336" max="3336" width="16.5703125" style="84" customWidth="1"/>
    <col min="3337" max="3337" width="16.85546875" style="84" customWidth="1"/>
    <col min="3338" max="3574" width="9.140625" style="84"/>
    <col min="3575" max="3575" width="7.140625" style="84" customWidth="1"/>
    <col min="3576" max="3576" width="18.85546875" style="84" customWidth="1"/>
    <col min="3577" max="3577" width="10.85546875" style="84" customWidth="1"/>
    <col min="3578" max="3585" width="0" style="84" hidden="1" customWidth="1"/>
    <col min="3586" max="3586" width="14.7109375" style="84" customWidth="1"/>
    <col min="3587" max="3587" width="14.28515625" style="84" customWidth="1"/>
    <col min="3588" max="3588" width="59.28515625" style="84" customWidth="1"/>
    <col min="3589" max="3589" width="15.85546875" style="84" customWidth="1"/>
    <col min="3590" max="3590" width="56.42578125" style="84" customWidth="1"/>
    <col min="3591" max="3591" width="12.85546875" style="84" customWidth="1"/>
    <col min="3592" max="3592" width="16.5703125" style="84" customWidth="1"/>
    <col min="3593" max="3593" width="16.85546875" style="84" customWidth="1"/>
    <col min="3594" max="3830" width="9.140625" style="84"/>
    <col min="3831" max="3831" width="7.140625" style="84" customWidth="1"/>
    <col min="3832" max="3832" width="18.85546875" style="84" customWidth="1"/>
    <col min="3833" max="3833" width="10.85546875" style="84" customWidth="1"/>
    <col min="3834" max="3841" width="0" style="84" hidden="1" customWidth="1"/>
    <col min="3842" max="3842" width="14.7109375" style="84" customWidth="1"/>
    <col min="3843" max="3843" width="14.28515625" style="84" customWidth="1"/>
    <col min="3844" max="3844" width="59.28515625" style="84" customWidth="1"/>
    <col min="3845" max="3845" width="15.85546875" style="84" customWidth="1"/>
    <col min="3846" max="3846" width="56.42578125" style="84" customWidth="1"/>
    <col min="3847" max="3847" width="12.85546875" style="84" customWidth="1"/>
    <col min="3848" max="3848" width="16.5703125" style="84" customWidth="1"/>
    <col min="3849" max="3849" width="16.85546875" style="84" customWidth="1"/>
    <col min="3850" max="4086" width="9.140625" style="84"/>
    <col min="4087" max="4087" width="7.140625" style="84" customWidth="1"/>
    <col min="4088" max="4088" width="18.85546875" style="84" customWidth="1"/>
    <col min="4089" max="4089" width="10.85546875" style="84" customWidth="1"/>
    <col min="4090" max="4097" width="0" style="84" hidden="1" customWidth="1"/>
    <col min="4098" max="4098" width="14.7109375" style="84" customWidth="1"/>
    <col min="4099" max="4099" width="14.28515625" style="84" customWidth="1"/>
    <col min="4100" max="4100" width="59.28515625" style="84" customWidth="1"/>
    <col min="4101" max="4101" width="15.85546875" style="84" customWidth="1"/>
    <col min="4102" max="4102" width="56.42578125" style="84" customWidth="1"/>
    <col min="4103" max="4103" width="12.85546875" style="84" customWidth="1"/>
    <col min="4104" max="4104" width="16.5703125" style="84" customWidth="1"/>
    <col min="4105" max="4105" width="16.85546875" style="84" customWidth="1"/>
    <col min="4106" max="4342" width="9.140625" style="84"/>
    <col min="4343" max="4343" width="7.140625" style="84" customWidth="1"/>
    <col min="4344" max="4344" width="18.85546875" style="84" customWidth="1"/>
    <col min="4345" max="4345" width="10.85546875" style="84" customWidth="1"/>
    <col min="4346" max="4353" width="0" style="84" hidden="1" customWidth="1"/>
    <col min="4354" max="4354" width="14.7109375" style="84" customWidth="1"/>
    <col min="4355" max="4355" width="14.28515625" style="84" customWidth="1"/>
    <col min="4356" max="4356" width="59.28515625" style="84" customWidth="1"/>
    <col min="4357" max="4357" width="15.85546875" style="84" customWidth="1"/>
    <col min="4358" max="4358" width="56.42578125" style="84" customWidth="1"/>
    <col min="4359" max="4359" width="12.85546875" style="84" customWidth="1"/>
    <col min="4360" max="4360" width="16.5703125" style="84" customWidth="1"/>
    <col min="4361" max="4361" width="16.85546875" style="84" customWidth="1"/>
    <col min="4362" max="4598" width="9.140625" style="84"/>
    <col min="4599" max="4599" width="7.140625" style="84" customWidth="1"/>
    <col min="4600" max="4600" width="18.85546875" style="84" customWidth="1"/>
    <col min="4601" max="4601" width="10.85546875" style="84" customWidth="1"/>
    <col min="4602" max="4609" width="0" style="84" hidden="1" customWidth="1"/>
    <col min="4610" max="4610" width="14.7109375" style="84" customWidth="1"/>
    <col min="4611" max="4611" width="14.28515625" style="84" customWidth="1"/>
    <col min="4612" max="4612" width="59.28515625" style="84" customWidth="1"/>
    <col min="4613" max="4613" width="15.85546875" style="84" customWidth="1"/>
    <col min="4614" max="4614" width="56.42578125" style="84" customWidth="1"/>
    <col min="4615" max="4615" width="12.85546875" style="84" customWidth="1"/>
    <col min="4616" max="4616" width="16.5703125" style="84" customWidth="1"/>
    <col min="4617" max="4617" width="16.85546875" style="84" customWidth="1"/>
    <col min="4618" max="4854" width="9.140625" style="84"/>
    <col min="4855" max="4855" width="7.140625" style="84" customWidth="1"/>
    <col min="4856" max="4856" width="18.85546875" style="84" customWidth="1"/>
    <col min="4857" max="4857" width="10.85546875" style="84" customWidth="1"/>
    <col min="4858" max="4865" width="0" style="84" hidden="1" customWidth="1"/>
    <col min="4866" max="4866" width="14.7109375" style="84" customWidth="1"/>
    <col min="4867" max="4867" width="14.28515625" style="84" customWidth="1"/>
    <col min="4868" max="4868" width="59.28515625" style="84" customWidth="1"/>
    <col min="4869" max="4869" width="15.85546875" style="84" customWidth="1"/>
    <col min="4870" max="4870" width="56.42578125" style="84" customWidth="1"/>
    <col min="4871" max="4871" width="12.85546875" style="84" customWidth="1"/>
    <col min="4872" max="4872" width="16.5703125" style="84" customWidth="1"/>
    <col min="4873" max="4873" width="16.85546875" style="84" customWidth="1"/>
    <col min="4874" max="5110" width="9.140625" style="84"/>
    <col min="5111" max="5111" width="7.140625" style="84" customWidth="1"/>
    <col min="5112" max="5112" width="18.85546875" style="84" customWidth="1"/>
    <col min="5113" max="5113" width="10.85546875" style="84" customWidth="1"/>
    <col min="5114" max="5121" width="0" style="84" hidden="1" customWidth="1"/>
    <col min="5122" max="5122" width="14.7109375" style="84" customWidth="1"/>
    <col min="5123" max="5123" width="14.28515625" style="84" customWidth="1"/>
    <col min="5124" max="5124" width="59.28515625" style="84" customWidth="1"/>
    <col min="5125" max="5125" width="15.85546875" style="84" customWidth="1"/>
    <col min="5126" max="5126" width="56.42578125" style="84" customWidth="1"/>
    <col min="5127" max="5127" width="12.85546875" style="84" customWidth="1"/>
    <col min="5128" max="5128" width="16.5703125" style="84" customWidth="1"/>
    <col min="5129" max="5129" width="16.85546875" style="84" customWidth="1"/>
    <col min="5130" max="5366" width="9.140625" style="84"/>
    <col min="5367" max="5367" width="7.140625" style="84" customWidth="1"/>
    <col min="5368" max="5368" width="18.85546875" style="84" customWidth="1"/>
    <col min="5369" max="5369" width="10.85546875" style="84" customWidth="1"/>
    <col min="5370" max="5377" width="0" style="84" hidden="1" customWidth="1"/>
    <col min="5378" max="5378" width="14.7109375" style="84" customWidth="1"/>
    <col min="5379" max="5379" width="14.28515625" style="84" customWidth="1"/>
    <col min="5380" max="5380" width="59.28515625" style="84" customWidth="1"/>
    <col min="5381" max="5381" width="15.85546875" style="84" customWidth="1"/>
    <col min="5382" max="5382" width="56.42578125" style="84" customWidth="1"/>
    <col min="5383" max="5383" width="12.85546875" style="84" customWidth="1"/>
    <col min="5384" max="5384" width="16.5703125" style="84" customWidth="1"/>
    <col min="5385" max="5385" width="16.85546875" style="84" customWidth="1"/>
    <col min="5386" max="5622" width="9.140625" style="84"/>
    <col min="5623" max="5623" width="7.140625" style="84" customWidth="1"/>
    <col min="5624" max="5624" width="18.85546875" style="84" customWidth="1"/>
    <col min="5625" max="5625" width="10.85546875" style="84" customWidth="1"/>
    <col min="5626" max="5633" width="0" style="84" hidden="1" customWidth="1"/>
    <col min="5634" max="5634" width="14.7109375" style="84" customWidth="1"/>
    <col min="5635" max="5635" width="14.28515625" style="84" customWidth="1"/>
    <col min="5636" max="5636" width="59.28515625" style="84" customWidth="1"/>
    <col min="5637" max="5637" width="15.85546875" style="84" customWidth="1"/>
    <col min="5638" max="5638" width="56.42578125" style="84" customWidth="1"/>
    <col min="5639" max="5639" width="12.85546875" style="84" customWidth="1"/>
    <col min="5640" max="5640" width="16.5703125" style="84" customWidth="1"/>
    <col min="5641" max="5641" width="16.85546875" style="84" customWidth="1"/>
    <col min="5642" max="5878" width="9.140625" style="84"/>
    <col min="5879" max="5879" width="7.140625" style="84" customWidth="1"/>
    <col min="5880" max="5880" width="18.85546875" style="84" customWidth="1"/>
    <col min="5881" max="5881" width="10.85546875" style="84" customWidth="1"/>
    <col min="5882" max="5889" width="0" style="84" hidden="1" customWidth="1"/>
    <col min="5890" max="5890" width="14.7109375" style="84" customWidth="1"/>
    <col min="5891" max="5891" width="14.28515625" style="84" customWidth="1"/>
    <col min="5892" max="5892" width="59.28515625" style="84" customWidth="1"/>
    <col min="5893" max="5893" width="15.85546875" style="84" customWidth="1"/>
    <col min="5894" max="5894" width="56.42578125" style="84" customWidth="1"/>
    <col min="5895" max="5895" width="12.85546875" style="84" customWidth="1"/>
    <col min="5896" max="5896" width="16.5703125" style="84" customWidth="1"/>
    <col min="5897" max="5897" width="16.85546875" style="84" customWidth="1"/>
    <col min="5898" max="6134" width="9.140625" style="84"/>
    <col min="6135" max="6135" width="7.140625" style="84" customWidth="1"/>
    <col min="6136" max="6136" width="18.85546875" style="84" customWidth="1"/>
    <col min="6137" max="6137" width="10.85546875" style="84" customWidth="1"/>
    <col min="6138" max="6145" width="0" style="84" hidden="1" customWidth="1"/>
    <col min="6146" max="6146" width="14.7109375" style="84" customWidth="1"/>
    <col min="6147" max="6147" width="14.28515625" style="84" customWidth="1"/>
    <col min="6148" max="6148" width="59.28515625" style="84" customWidth="1"/>
    <col min="6149" max="6149" width="15.85546875" style="84" customWidth="1"/>
    <col min="6150" max="6150" width="56.42578125" style="84" customWidth="1"/>
    <col min="6151" max="6151" width="12.85546875" style="84" customWidth="1"/>
    <col min="6152" max="6152" width="16.5703125" style="84" customWidth="1"/>
    <col min="6153" max="6153" width="16.85546875" style="84" customWidth="1"/>
    <col min="6154" max="6390" width="9.140625" style="84"/>
    <col min="6391" max="6391" width="7.140625" style="84" customWidth="1"/>
    <col min="6392" max="6392" width="18.85546875" style="84" customWidth="1"/>
    <col min="6393" max="6393" width="10.85546875" style="84" customWidth="1"/>
    <col min="6394" max="6401" width="0" style="84" hidden="1" customWidth="1"/>
    <col min="6402" max="6402" width="14.7109375" style="84" customWidth="1"/>
    <col min="6403" max="6403" width="14.28515625" style="84" customWidth="1"/>
    <col min="6404" max="6404" width="59.28515625" style="84" customWidth="1"/>
    <col min="6405" max="6405" width="15.85546875" style="84" customWidth="1"/>
    <col min="6406" max="6406" width="56.42578125" style="84" customWidth="1"/>
    <col min="6407" max="6407" width="12.85546875" style="84" customWidth="1"/>
    <col min="6408" max="6408" width="16.5703125" style="84" customWidth="1"/>
    <col min="6409" max="6409" width="16.85546875" style="84" customWidth="1"/>
    <col min="6410" max="6646" width="9.140625" style="84"/>
    <col min="6647" max="6647" width="7.140625" style="84" customWidth="1"/>
    <col min="6648" max="6648" width="18.85546875" style="84" customWidth="1"/>
    <col min="6649" max="6649" width="10.85546875" style="84" customWidth="1"/>
    <col min="6650" max="6657" width="0" style="84" hidden="1" customWidth="1"/>
    <col min="6658" max="6658" width="14.7109375" style="84" customWidth="1"/>
    <col min="6659" max="6659" width="14.28515625" style="84" customWidth="1"/>
    <col min="6660" max="6660" width="59.28515625" style="84" customWidth="1"/>
    <col min="6661" max="6661" width="15.85546875" style="84" customWidth="1"/>
    <col min="6662" max="6662" width="56.42578125" style="84" customWidth="1"/>
    <col min="6663" max="6663" width="12.85546875" style="84" customWidth="1"/>
    <col min="6664" max="6664" width="16.5703125" style="84" customWidth="1"/>
    <col min="6665" max="6665" width="16.85546875" style="84" customWidth="1"/>
    <col min="6666" max="6902" width="9.140625" style="84"/>
    <col min="6903" max="6903" width="7.140625" style="84" customWidth="1"/>
    <col min="6904" max="6904" width="18.85546875" style="84" customWidth="1"/>
    <col min="6905" max="6905" width="10.85546875" style="84" customWidth="1"/>
    <col min="6906" max="6913" width="0" style="84" hidden="1" customWidth="1"/>
    <col min="6914" max="6914" width="14.7109375" style="84" customWidth="1"/>
    <col min="6915" max="6915" width="14.28515625" style="84" customWidth="1"/>
    <col min="6916" max="6916" width="59.28515625" style="84" customWidth="1"/>
    <col min="6917" max="6917" width="15.85546875" style="84" customWidth="1"/>
    <col min="6918" max="6918" width="56.42578125" style="84" customWidth="1"/>
    <col min="6919" max="6919" width="12.85546875" style="84" customWidth="1"/>
    <col min="6920" max="6920" width="16.5703125" style="84" customWidth="1"/>
    <col min="6921" max="6921" width="16.85546875" style="84" customWidth="1"/>
    <col min="6922" max="7158" width="9.140625" style="84"/>
    <col min="7159" max="7159" width="7.140625" style="84" customWidth="1"/>
    <col min="7160" max="7160" width="18.85546875" style="84" customWidth="1"/>
    <col min="7161" max="7161" width="10.85546875" style="84" customWidth="1"/>
    <col min="7162" max="7169" width="0" style="84" hidden="1" customWidth="1"/>
    <col min="7170" max="7170" width="14.7109375" style="84" customWidth="1"/>
    <col min="7171" max="7171" width="14.28515625" style="84" customWidth="1"/>
    <col min="7172" max="7172" width="59.28515625" style="84" customWidth="1"/>
    <col min="7173" max="7173" width="15.85546875" style="84" customWidth="1"/>
    <col min="7174" max="7174" width="56.42578125" style="84" customWidth="1"/>
    <col min="7175" max="7175" width="12.85546875" style="84" customWidth="1"/>
    <col min="7176" max="7176" width="16.5703125" style="84" customWidth="1"/>
    <col min="7177" max="7177" width="16.85546875" style="84" customWidth="1"/>
    <col min="7178" max="7414" width="9.140625" style="84"/>
    <col min="7415" max="7415" width="7.140625" style="84" customWidth="1"/>
    <col min="7416" max="7416" width="18.85546875" style="84" customWidth="1"/>
    <col min="7417" max="7417" width="10.85546875" style="84" customWidth="1"/>
    <col min="7418" max="7425" width="0" style="84" hidden="1" customWidth="1"/>
    <col min="7426" max="7426" width="14.7109375" style="84" customWidth="1"/>
    <col min="7427" max="7427" width="14.28515625" style="84" customWidth="1"/>
    <col min="7428" max="7428" width="59.28515625" style="84" customWidth="1"/>
    <col min="7429" max="7429" width="15.85546875" style="84" customWidth="1"/>
    <col min="7430" max="7430" width="56.42578125" style="84" customWidth="1"/>
    <col min="7431" max="7431" width="12.85546875" style="84" customWidth="1"/>
    <col min="7432" max="7432" width="16.5703125" style="84" customWidth="1"/>
    <col min="7433" max="7433" width="16.85546875" style="84" customWidth="1"/>
    <col min="7434" max="7670" width="9.140625" style="84"/>
    <col min="7671" max="7671" width="7.140625" style="84" customWidth="1"/>
    <col min="7672" max="7672" width="18.85546875" style="84" customWidth="1"/>
    <col min="7673" max="7673" width="10.85546875" style="84" customWidth="1"/>
    <col min="7674" max="7681" width="0" style="84" hidden="1" customWidth="1"/>
    <col min="7682" max="7682" width="14.7109375" style="84" customWidth="1"/>
    <col min="7683" max="7683" width="14.28515625" style="84" customWidth="1"/>
    <col min="7684" max="7684" width="59.28515625" style="84" customWidth="1"/>
    <col min="7685" max="7685" width="15.85546875" style="84" customWidth="1"/>
    <col min="7686" max="7686" width="56.42578125" style="84" customWidth="1"/>
    <col min="7687" max="7687" width="12.85546875" style="84" customWidth="1"/>
    <col min="7688" max="7688" width="16.5703125" style="84" customWidth="1"/>
    <col min="7689" max="7689" width="16.85546875" style="84" customWidth="1"/>
    <col min="7690" max="7926" width="9.140625" style="84"/>
    <col min="7927" max="7927" width="7.140625" style="84" customWidth="1"/>
    <col min="7928" max="7928" width="18.85546875" style="84" customWidth="1"/>
    <col min="7929" max="7929" width="10.85546875" style="84" customWidth="1"/>
    <col min="7930" max="7937" width="0" style="84" hidden="1" customWidth="1"/>
    <col min="7938" max="7938" width="14.7109375" style="84" customWidth="1"/>
    <col min="7939" max="7939" width="14.28515625" style="84" customWidth="1"/>
    <col min="7940" max="7940" width="59.28515625" style="84" customWidth="1"/>
    <col min="7941" max="7941" width="15.85546875" style="84" customWidth="1"/>
    <col min="7942" max="7942" width="56.42578125" style="84" customWidth="1"/>
    <col min="7943" max="7943" width="12.85546875" style="84" customWidth="1"/>
    <col min="7944" max="7944" width="16.5703125" style="84" customWidth="1"/>
    <col min="7945" max="7945" width="16.85546875" style="84" customWidth="1"/>
    <col min="7946" max="8182" width="9.140625" style="84"/>
    <col min="8183" max="8183" width="7.140625" style="84" customWidth="1"/>
    <col min="8184" max="8184" width="18.85546875" style="84" customWidth="1"/>
    <col min="8185" max="8185" width="10.85546875" style="84" customWidth="1"/>
    <col min="8186" max="8193" width="0" style="84" hidden="1" customWidth="1"/>
    <col min="8194" max="8194" width="14.7109375" style="84" customWidth="1"/>
    <col min="8195" max="8195" width="14.28515625" style="84" customWidth="1"/>
    <col min="8196" max="8196" width="59.28515625" style="84" customWidth="1"/>
    <col min="8197" max="8197" width="15.85546875" style="84" customWidth="1"/>
    <col min="8198" max="8198" width="56.42578125" style="84" customWidth="1"/>
    <col min="8199" max="8199" width="12.85546875" style="84" customWidth="1"/>
    <col min="8200" max="8200" width="16.5703125" style="84" customWidth="1"/>
    <col min="8201" max="8201" width="16.85546875" style="84" customWidth="1"/>
    <col min="8202" max="8438" width="9.140625" style="84"/>
    <col min="8439" max="8439" width="7.140625" style="84" customWidth="1"/>
    <col min="8440" max="8440" width="18.85546875" style="84" customWidth="1"/>
    <col min="8441" max="8441" width="10.85546875" style="84" customWidth="1"/>
    <col min="8442" max="8449" width="0" style="84" hidden="1" customWidth="1"/>
    <col min="8450" max="8450" width="14.7109375" style="84" customWidth="1"/>
    <col min="8451" max="8451" width="14.28515625" style="84" customWidth="1"/>
    <col min="8452" max="8452" width="59.28515625" style="84" customWidth="1"/>
    <col min="8453" max="8453" width="15.85546875" style="84" customWidth="1"/>
    <col min="8454" max="8454" width="56.42578125" style="84" customWidth="1"/>
    <col min="8455" max="8455" width="12.85546875" style="84" customWidth="1"/>
    <col min="8456" max="8456" width="16.5703125" style="84" customWidth="1"/>
    <col min="8457" max="8457" width="16.85546875" style="84" customWidth="1"/>
    <col min="8458" max="8694" width="9.140625" style="84"/>
    <col min="8695" max="8695" width="7.140625" style="84" customWidth="1"/>
    <col min="8696" max="8696" width="18.85546875" style="84" customWidth="1"/>
    <col min="8697" max="8697" width="10.85546875" style="84" customWidth="1"/>
    <col min="8698" max="8705" width="0" style="84" hidden="1" customWidth="1"/>
    <col min="8706" max="8706" width="14.7109375" style="84" customWidth="1"/>
    <col min="8707" max="8707" width="14.28515625" style="84" customWidth="1"/>
    <col min="8708" max="8708" width="59.28515625" style="84" customWidth="1"/>
    <col min="8709" max="8709" width="15.85546875" style="84" customWidth="1"/>
    <col min="8710" max="8710" width="56.42578125" style="84" customWidth="1"/>
    <col min="8711" max="8711" width="12.85546875" style="84" customWidth="1"/>
    <col min="8712" max="8712" width="16.5703125" style="84" customWidth="1"/>
    <col min="8713" max="8713" width="16.85546875" style="84" customWidth="1"/>
    <col min="8714" max="8950" width="9.140625" style="84"/>
    <col min="8951" max="8951" width="7.140625" style="84" customWidth="1"/>
    <col min="8952" max="8952" width="18.85546875" style="84" customWidth="1"/>
    <col min="8953" max="8953" width="10.85546875" style="84" customWidth="1"/>
    <col min="8954" max="8961" width="0" style="84" hidden="1" customWidth="1"/>
    <col min="8962" max="8962" width="14.7109375" style="84" customWidth="1"/>
    <col min="8963" max="8963" width="14.28515625" style="84" customWidth="1"/>
    <col min="8964" max="8964" width="59.28515625" style="84" customWidth="1"/>
    <col min="8965" max="8965" width="15.85546875" style="84" customWidth="1"/>
    <col min="8966" max="8966" width="56.42578125" style="84" customWidth="1"/>
    <col min="8967" max="8967" width="12.85546875" style="84" customWidth="1"/>
    <col min="8968" max="8968" width="16.5703125" style="84" customWidth="1"/>
    <col min="8969" max="8969" width="16.85546875" style="84" customWidth="1"/>
    <col min="8970" max="9206" width="9.140625" style="84"/>
    <col min="9207" max="9207" width="7.140625" style="84" customWidth="1"/>
    <col min="9208" max="9208" width="18.85546875" style="84" customWidth="1"/>
    <col min="9209" max="9209" width="10.85546875" style="84" customWidth="1"/>
    <col min="9210" max="9217" width="0" style="84" hidden="1" customWidth="1"/>
    <col min="9218" max="9218" width="14.7109375" style="84" customWidth="1"/>
    <col min="9219" max="9219" width="14.28515625" style="84" customWidth="1"/>
    <col min="9220" max="9220" width="59.28515625" style="84" customWidth="1"/>
    <col min="9221" max="9221" width="15.85546875" style="84" customWidth="1"/>
    <col min="9222" max="9222" width="56.42578125" style="84" customWidth="1"/>
    <col min="9223" max="9223" width="12.85546875" style="84" customWidth="1"/>
    <col min="9224" max="9224" width="16.5703125" style="84" customWidth="1"/>
    <col min="9225" max="9225" width="16.85546875" style="84" customWidth="1"/>
    <col min="9226" max="9462" width="9.140625" style="84"/>
    <col min="9463" max="9463" width="7.140625" style="84" customWidth="1"/>
    <col min="9464" max="9464" width="18.85546875" style="84" customWidth="1"/>
    <col min="9465" max="9465" width="10.85546875" style="84" customWidth="1"/>
    <col min="9466" max="9473" width="0" style="84" hidden="1" customWidth="1"/>
    <col min="9474" max="9474" width="14.7109375" style="84" customWidth="1"/>
    <col min="9475" max="9475" width="14.28515625" style="84" customWidth="1"/>
    <col min="9476" max="9476" width="59.28515625" style="84" customWidth="1"/>
    <col min="9477" max="9477" width="15.85546875" style="84" customWidth="1"/>
    <col min="9478" max="9478" width="56.42578125" style="84" customWidth="1"/>
    <col min="9479" max="9479" width="12.85546875" style="84" customWidth="1"/>
    <col min="9480" max="9480" width="16.5703125" style="84" customWidth="1"/>
    <col min="9481" max="9481" width="16.85546875" style="84" customWidth="1"/>
    <col min="9482" max="9718" width="9.140625" style="84"/>
    <col min="9719" max="9719" width="7.140625" style="84" customWidth="1"/>
    <col min="9720" max="9720" width="18.85546875" style="84" customWidth="1"/>
    <col min="9721" max="9721" width="10.85546875" style="84" customWidth="1"/>
    <col min="9722" max="9729" width="0" style="84" hidden="1" customWidth="1"/>
    <col min="9730" max="9730" width="14.7109375" style="84" customWidth="1"/>
    <col min="9731" max="9731" width="14.28515625" style="84" customWidth="1"/>
    <col min="9732" max="9732" width="59.28515625" style="84" customWidth="1"/>
    <col min="9733" max="9733" width="15.85546875" style="84" customWidth="1"/>
    <col min="9734" max="9734" width="56.42578125" style="84" customWidth="1"/>
    <col min="9735" max="9735" width="12.85546875" style="84" customWidth="1"/>
    <col min="9736" max="9736" width="16.5703125" style="84" customWidth="1"/>
    <col min="9737" max="9737" width="16.85546875" style="84" customWidth="1"/>
    <col min="9738" max="9974" width="9.140625" style="84"/>
    <col min="9975" max="9975" width="7.140625" style="84" customWidth="1"/>
    <col min="9976" max="9976" width="18.85546875" style="84" customWidth="1"/>
    <col min="9977" max="9977" width="10.85546875" style="84" customWidth="1"/>
    <col min="9978" max="9985" width="0" style="84" hidden="1" customWidth="1"/>
    <col min="9986" max="9986" width="14.7109375" style="84" customWidth="1"/>
    <col min="9987" max="9987" width="14.28515625" style="84" customWidth="1"/>
    <col min="9988" max="9988" width="59.28515625" style="84" customWidth="1"/>
    <col min="9989" max="9989" width="15.85546875" style="84" customWidth="1"/>
    <col min="9990" max="9990" width="56.42578125" style="84" customWidth="1"/>
    <col min="9991" max="9991" width="12.85546875" style="84" customWidth="1"/>
    <col min="9992" max="9992" width="16.5703125" style="84" customWidth="1"/>
    <col min="9993" max="9993" width="16.85546875" style="84" customWidth="1"/>
    <col min="9994" max="10230" width="9.140625" style="84"/>
    <col min="10231" max="10231" width="7.140625" style="84" customWidth="1"/>
    <col min="10232" max="10232" width="18.85546875" style="84" customWidth="1"/>
    <col min="10233" max="10233" width="10.85546875" style="84" customWidth="1"/>
    <col min="10234" max="10241" width="0" style="84" hidden="1" customWidth="1"/>
    <col min="10242" max="10242" width="14.7109375" style="84" customWidth="1"/>
    <col min="10243" max="10243" width="14.28515625" style="84" customWidth="1"/>
    <col min="10244" max="10244" width="59.28515625" style="84" customWidth="1"/>
    <col min="10245" max="10245" width="15.85546875" style="84" customWidth="1"/>
    <col min="10246" max="10246" width="56.42578125" style="84" customWidth="1"/>
    <col min="10247" max="10247" width="12.85546875" style="84" customWidth="1"/>
    <col min="10248" max="10248" width="16.5703125" style="84" customWidth="1"/>
    <col min="10249" max="10249" width="16.85546875" style="84" customWidth="1"/>
    <col min="10250" max="10486" width="9.140625" style="84"/>
    <col min="10487" max="10487" width="7.140625" style="84" customWidth="1"/>
    <col min="10488" max="10488" width="18.85546875" style="84" customWidth="1"/>
    <col min="10489" max="10489" width="10.85546875" style="84" customWidth="1"/>
    <col min="10490" max="10497" width="0" style="84" hidden="1" customWidth="1"/>
    <col min="10498" max="10498" width="14.7109375" style="84" customWidth="1"/>
    <col min="10499" max="10499" width="14.28515625" style="84" customWidth="1"/>
    <col min="10500" max="10500" width="59.28515625" style="84" customWidth="1"/>
    <col min="10501" max="10501" width="15.85546875" style="84" customWidth="1"/>
    <col min="10502" max="10502" width="56.42578125" style="84" customWidth="1"/>
    <col min="10503" max="10503" width="12.85546875" style="84" customWidth="1"/>
    <col min="10504" max="10504" width="16.5703125" style="84" customWidth="1"/>
    <col min="10505" max="10505" width="16.85546875" style="84" customWidth="1"/>
    <col min="10506" max="10742" width="9.140625" style="84"/>
    <col min="10743" max="10743" width="7.140625" style="84" customWidth="1"/>
    <col min="10744" max="10744" width="18.85546875" style="84" customWidth="1"/>
    <col min="10745" max="10745" width="10.85546875" style="84" customWidth="1"/>
    <col min="10746" max="10753" width="0" style="84" hidden="1" customWidth="1"/>
    <col min="10754" max="10754" width="14.7109375" style="84" customWidth="1"/>
    <col min="10755" max="10755" width="14.28515625" style="84" customWidth="1"/>
    <col min="10756" max="10756" width="59.28515625" style="84" customWidth="1"/>
    <col min="10757" max="10757" width="15.85546875" style="84" customWidth="1"/>
    <col min="10758" max="10758" width="56.42578125" style="84" customWidth="1"/>
    <col min="10759" max="10759" width="12.85546875" style="84" customWidth="1"/>
    <col min="10760" max="10760" width="16.5703125" style="84" customWidth="1"/>
    <col min="10761" max="10761" width="16.85546875" style="84" customWidth="1"/>
    <col min="10762" max="10998" width="9.140625" style="84"/>
    <col min="10999" max="10999" width="7.140625" style="84" customWidth="1"/>
    <col min="11000" max="11000" width="18.85546875" style="84" customWidth="1"/>
    <col min="11001" max="11001" width="10.85546875" style="84" customWidth="1"/>
    <col min="11002" max="11009" width="0" style="84" hidden="1" customWidth="1"/>
    <col min="11010" max="11010" width="14.7109375" style="84" customWidth="1"/>
    <col min="11011" max="11011" width="14.28515625" style="84" customWidth="1"/>
    <col min="11012" max="11012" width="59.28515625" style="84" customWidth="1"/>
    <col min="11013" max="11013" width="15.85546875" style="84" customWidth="1"/>
    <col min="11014" max="11014" width="56.42578125" style="84" customWidth="1"/>
    <col min="11015" max="11015" width="12.85546875" style="84" customWidth="1"/>
    <col min="11016" max="11016" width="16.5703125" style="84" customWidth="1"/>
    <col min="11017" max="11017" width="16.85546875" style="84" customWidth="1"/>
    <col min="11018" max="11254" width="9.140625" style="84"/>
    <col min="11255" max="11255" width="7.140625" style="84" customWidth="1"/>
    <col min="11256" max="11256" width="18.85546875" style="84" customWidth="1"/>
    <col min="11257" max="11257" width="10.85546875" style="84" customWidth="1"/>
    <col min="11258" max="11265" width="0" style="84" hidden="1" customWidth="1"/>
    <col min="11266" max="11266" width="14.7109375" style="84" customWidth="1"/>
    <col min="11267" max="11267" width="14.28515625" style="84" customWidth="1"/>
    <col min="11268" max="11268" width="59.28515625" style="84" customWidth="1"/>
    <col min="11269" max="11269" width="15.85546875" style="84" customWidth="1"/>
    <col min="11270" max="11270" width="56.42578125" style="84" customWidth="1"/>
    <col min="11271" max="11271" width="12.85546875" style="84" customWidth="1"/>
    <col min="11272" max="11272" width="16.5703125" style="84" customWidth="1"/>
    <col min="11273" max="11273" width="16.85546875" style="84" customWidth="1"/>
    <col min="11274" max="11510" width="9.140625" style="84"/>
    <col min="11511" max="11511" width="7.140625" style="84" customWidth="1"/>
    <col min="11512" max="11512" width="18.85546875" style="84" customWidth="1"/>
    <col min="11513" max="11513" width="10.85546875" style="84" customWidth="1"/>
    <col min="11514" max="11521" width="0" style="84" hidden="1" customWidth="1"/>
    <col min="11522" max="11522" width="14.7109375" style="84" customWidth="1"/>
    <col min="11523" max="11523" width="14.28515625" style="84" customWidth="1"/>
    <col min="11524" max="11524" width="59.28515625" style="84" customWidth="1"/>
    <col min="11525" max="11525" width="15.85546875" style="84" customWidth="1"/>
    <col min="11526" max="11526" width="56.42578125" style="84" customWidth="1"/>
    <col min="11527" max="11527" width="12.85546875" style="84" customWidth="1"/>
    <col min="11528" max="11528" width="16.5703125" style="84" customWidth="1"/>
    <col min="11529" max="11529" width="16.85546875" style="84" customWidth="1"/>
    <col min="11530" max="11766" width="9.140625" style="84"/>
    <col min="11767" max="11767" width="7.140625" style="84" customWidth="1"/>
    <col min="11768" max="11768" width="18.85546875" style="84" customWidth="1"/>
    <col min="11769" max="11769" width="10.85546875" style="84" customWidth="1"/>
    <col min="11770" max="11777" width="0" style="84" hidden="1" customWidth="1"/>
    <col min="11778" max="11778" width="14.7109375" style="84" customWidth="1"/>
    <col min="11779" max="11779" width="14.28515625" style="84" customWidth="1"/>
    <col min="11780" max="11780" width="59.28515625" style="84" customWidth="1"/>
    <col min="11781" max="11781" width="15.85546875" style="84" customWidth="1"/>
    <col min="11782" max="11782" width="56.42578125" style="84" customWidth="1"/>
    <col min="11783" max="11783" width="12.85546875" style="84" customWidth="1"/>
    <col min="11784" max="11784" width="16.5703125" style="84" customWidth="1"/>
    <col min="11785" max="11785" width="16.85546875" style="84" customWidth="1"/>
    <col min="11786" max="12022" width="9.140625" style="84"/>
    <col min="12023" max="12023" width="7.140625" style="84" customWidth="1"/>
    <col min="12024" max="12024" width="18.85546875" style="84" customWidth="1"/>
    <col min="12025" max="12025" width="10.85546875" style="84" customWidth="1"/>
    <col min="12026" max="12033" width="0" style="84" hidden="1" customWidth="1"/>
    <col min="12034" max="12034" width="14.7109375" style="84" customWidth="1"/>
    <col min="12035" max="12035" width="14.28515625" style="84" customWidth="1"/>
    <col min="12036" max="12036" width="59.28515625" style="84" customWidth="1"/>
    <col min="12037" max="12037" width="15.85546875" style="84" customWidth="1"/>
    <col min="12038" max="12038" width="56.42578125" style="84" customWidth="1"/>
    <col min="12039" max="12039" width="12.85546875" style="84" customWidth="1"/>
    <col min="12040" max="12040" width="16.5703125" style="84" customWidth="1"/>
    <col min="12041" max="12041" width="16.85546875" style="84" customWidth="1"/>
    <col min="12042" max="12278" width="9.140625" style="84"/>
    <col min="12279" max="12279" width="7.140625" style="84" customWidth="1"/>
    <col min="12280" max="12280" width="18.85546875" style="84" customWidth="1"/>
    <col min="12281" max="12281" width="10.85546875" style="84" customWidth="1"/>
    <col min="12282" max="12289" width="0" style="84" hidden="1" customWidth="1"/>
    <col min="12290" max="12290" width="14.7109375" style="84" customWidth="1"/>
    <col min="12291" max="12291" width="14.28515625" style="84" customWidth="1"/>
    <col min="12292" max="12292" width="59.28515625" style="84" customWidth="1"/>
    <col min="12293" max="12293" width="15.85546875" style="84" customWidth="1"/>
    <col min="12294" max="12294" width="56.42578125" style="84" customWidth="1"/>
    <col min="12295" max="12295" width="12.85546875" style="84" customWidth="1"/>
    <col min="12296" max="12296" width="16.5703125" style="84" customWidth="1"/>
    <col min="12297" max="12297" width="16.85546875" style="84" customWidth="1"/>
    <col min="12298" max="12534" width="9.140625" style="84"/>
    <col min="12535" max="12535" width="7.140625" style="84" customWidth="1"/>
    <col min="12536" max="12536" width="18.85546875" style="84" customWidth="1"/>
    <col min="12537" max="12537" width="10.85546875" style="84" customWidth="1"/>
    <col min="12538" max="12545" width="0" style="84" hidden="1" customWidth="1"/>
    <col min="12546" max="12546" width="14.7109375" style="84" customWidth="1"/>
    <col min="12547" max="12547" width="14.28515625" style="84" customWidth="1"/>
    <col min="12548" max="12548" width="59.28515625" style="84" customWidth="1"/>
    <col min="12549" max="12549" width="15.85546875" style="84" customWidth="1"/>
    <col min="12550" max="12550" width="56.42578125" style="84" customWidth="1"/>
    <col min="12551" max="12551" width="12.85546875" style="84" customWidth="1"/>
    <col min="12552" max="12552" width="16.5703125" style="84" customWidth="1"/>
    <col min="12553" max="12553" width="16.85546875" style="84" customWidth="1"/>
    <col min="12554" max="12790" width="9.140625" style="84"/>
    <col min="12791" max="12791" width="7.140625" style="84" customWidth="1"/>
    <col min="12792" max="12792" width="18.85546875" style="84" customWidth="1"/>
    <col min="12793" max="12793" width="10.85546875" style="84" customWidth="1"/>
    <col min="12794" max="12801" width="0" style="84" hidden="1" customWidth="1"/>
    <col min="12802" max="12802" width="14.7109375" style="84" customWidth="1"/>
    <col min="12803" max="12803" width="14.28515625" style="84" customWidth="1"/>
    <col min="12804" max="12804" width="59.28515625" style="84" customWidth="1"/>
    <col min="12805" max="12805" width="15.85546875" style="84" customWidth="1"/>
    <col min="12806" max="12806" width="56.42578125" style="84" customWidth="1"/>
    <col min="12807" max="12807" width="12.85546875" style="84" customWidth="1"/>
    <col min="12808" max="12808" width="16.5703125" style="84" customWidth="1"/>
    <col min="12809" max="12809" width="16.85546875" style="84" customWidth="1"/>
    <col min="12810" max="13046" width="9.140625" style="84"/>
    <col min="13047" max="13047" width="7.140625" style="84" customWidth="1"/>
    <col min="13048" max="13048" width="18.85546875" style="84" customWidth="1"/>
    <col min="13049" max="13049" width="10.85546875" style="84" customWidth="1"/>
    <col min="13050" max="13057" width="0" style="84" hidden="1" customWidth="1"/>
    <col min="13058" max="13058" width="14.7109375" style="84" customWidth="1"/>
    <col min="13059" max="13059" width="14.28515625" style="84" customWidth="1"/>
    <col min="13060" max="13060" width="59.28515625" style="84" customWidth="1"/>
    <col min="13061" max="13061" width="15.85546875" style="84" customWidth="1"/>
    <col min="13062" max="13062" width="56.42578125" style="84" customWidth="1"/>
    <col min="13063" max="13063" width="12.85546875" style="84" customWidth="1"/>
    <col min="13064" max="13064" width="16.5703125" style="84" customWidth="1"/>
    <col min="13065" max="13065" width="16.85546875" style="84" customWidth="1"/>
    <col min="13066" max="13302" width="9.140625" style="84"/>
    <col min="13303" max="13303" width="7.140625" style="84" customWidth="1"/>
    <col min="13304" max="13304" width="18.85546875" style="84" customWidth="1"/>
    <col min="13305" max="13305" width="10.85546875" style="84" customWidth="1"/>
    <col min="13306" max="13313" width="0" style="84" hidden="1" customWidth="1"/>
    <col min="13314" max="13314" width="14.7109375" style="84" customWidth="1"/>
    <col min="13315" max="13315" width="14.28515625" style="84" customWidth="1"/>
    <col min="13316" max="13316" width="59.28515625" style="84" customWidth="1"/>
    <col min="13317" max="13317" width="15.85546875" style="84" customWidth="1"/>
    <col min="13318" max="13318" width="56.42578125" style="84" customWidth="1"/>
    <col min="13319" max="13319" width="12.85546875" style="84" customWidth="1"/>
    <col min="13320" max="13320" width="16.5703125" style="84" customWidth="1"/>
    <col min="13321" max="13321" width="16.85546875" style="84" customWidth="1"/>
    <col min="13322" max="13558" width="9.140625" style="84"/>
    <col min="13559" max="13559" width="7.140625" style="84" customWidth="1"/>
    <col min="13560" max="13560" width="18.85546875" style="84" customWidth="1"/>
    <col min="13561" max="13561" width="10.85546875" style="84" customWidth="1"/>
    <col min="13562" max="13569" width="0" style="84" hidden="1" customWidth="1"/>
    <col min="13570" max="13570" width="14.7109375" style="84" customWidth="1"/>
    <col min="13571" max="13571" width="14.28515625" style="84" customWidth="1"/>
    <col min="13572" max="13572" width="59.28515625" style="84" customWidth="1"/>
    <col min="13573" max="13573" width="15.85546875" style="84" customWidth="1"/>
    <col min="13574" max="13574" width="56.42578125" style="84" customWidth="1"/>
    <col min="13575" max="13575" width="12.85546875" style="84" customWidth="1"/>
    <col min="13576" max="13576" width="16.5703125" style="84" customWidth="1"/>
    <col min="13577" max="13577" width="16.85546875" style="84" customWidth="1"/>
    <col min="13578" max="13814" width="9.140625" style="84"/>
    <col min="13815" max="13815" width="7.140625" style="84" customWidth="1"/>
    <col min="13816" max="13816" width="18.85546875" style="84" customWidth="1"/>
    <col min="13817" max="13817" width="10.85546875" style="84" customWidth="1"/>
    <col min="13818" max="13825" width="0" style="84" hidden="1" customWidth="1"/>
    <col min="13826" max="13826" width="14.7109375" style="84" customWidth="1"/>
    <col min="13827" max="13827" width="14.28515625" style="84" customWidth="1"/>
    <col min="13828" max="13828" width="59.28515625" style="84" customWidth="1"/>
    <col min="13829" max="13829" width="15.85546875" style="84" customWidth="1"/>
    <col min="13830" max="13830" width="56.42578125" style="84" customWidth="1"/>
    <col min="13831" max="13831" width="12.85546875" style="84" customWidth="1"/>
    <col min="13832" max="13832" width="16.5703125" style="84" customWidth="1"/>
    <col min="13833" max="13833" width="16.85546875" style="84" customWidth="1"/>
    <col min="13834" max="14070" width="9.140625" style="84"/>
    <col min="14071" max="14071" width="7.140625" style="84" customWidth="1"/>
    <col min="14072" max="14072" width="18.85546875" style="84" customWidth="1"/>
    <col min="14073" max="14073" width="10.85546875" style="84" customWidth="1"/>
    <col min="14074" max="14081" width="0" style="84" hidden="1" customWidth="1"/>
    <col min="14082" max="14082" width="14.7109375" style="84" customWidth="1"/>
    <col min="14083" max="14083" width="14.28515625" style="84" customWidth="1"/>
    <col min="14084" max="14084" width="59.28515625" style="84" customWidth="1"/>
    <col min="14085" max="14085" width="15.85546875" style="84" customWidth="1"/>
    <col min="14086" max="14086" width="56.42578125" style="84" customWidth="1"/>
    <col min="14087" max="14087" width="12.85546875" style="84" customWidth="1"/>
    <col min="14088" max="14088" width="16.5703125" style="84" customWidth="1"/>
    <col min="14089" max="14089" width="16.85546875" style="84" customWidth="1"/>
    <col min="14090" max="14326" width="9.140625" style="84"/>
    <col min="14327" max="14327" width="7.140625" style="84" customWidth="1"/>
    <col min="14328" max="14328" width="18.85546875" style="84" customWidth="1"/>
    <col min="14329" max="14329" width="10.85546875" style="84" customWidth="1"/>
    <col min="14330" max="14337" width="0" style="84" hidden="1" customWidth="1"/>
    <col min="14338" max="14338" width="14.7109375" style="84" customWidth="1"/>
    <col min="14339" max="14339" width="14.28515625" style="84" customWidth="1"/>
    <col min="14340" max="14340" width="59.28515625" style="84" customWidth="1"/>
    <col min="14341" max="14341" width="15.85546875" style="84" customWidth="1"/>
    <col min="14342" max="14342" width="56.42578125" style="84" customWidth="1"/>
    <col min="14343" max="14343" width="12.85546875" style="84" customWidth="1"/>
    <col min="14344" max="14344" width="16.5703125" style="84" customWidth="1"/>
    <col min="14345" max="14345" width="16.85546875" style="84" customWidth="1"/>
    <col min="14346" max="14582" width="9.140625" style="84"/>
    <col min="14583" max="14583" width="7.140625" style="84" customWidth="1"/>
    <col min="14584" max="14584" width="18.85546875" style="84" customWidth="1"/>
    <col min="14585" max="14585" width="10.85546875" style="84" customWidth="1"/>
    <col min="14586" max="14593" width="0" style="84" hidden="1" customWidth="1"/>
    <col min="14594" max="14594" width="14.7109375" style="84" customWidth="1"/>
    <col min="14595" max="14595" width="14.28515625" style="84" customWidth="1"/>
    <col min="14596" max="14596" width="59.28515625" style="84" customWidth="1"/>
    <col min="14597" max="14597" width="15.85546875" style="84" customWidth="1"/>
    <col min="14598" max="14598" width="56.42578125" style="84" customWidth="1"/>
    <col min="14599" max="14599" width="12.85546875" style="84" customWidth="1"/>
    <col min="14600" max="14600" width="16.5703125" style="84" customWidth="1"/>
    <col min="14601" max="14601" width="16.85546875" style="84" customWidth="1"/>
    <col min="14602" max="14838" width="9.140625" style="84"/>
    <col min="14839" max="14839" width="7.140625" style="84" customWidth="1"/>
    <col min="14840" max="14840" width="18.85546875" style="84" customWidth="1"/>
    <col min="14841" max="14841" width="10.85546875" style="84" customWidth="1"/>
    <col min="14842" max="14849" width="0" style="84" hidden="1" customWidth="1"/>
    <col min="14850" max="14850" width="14.7109375" style="84" customWidth="1"/>
    <col min="14851" max="14851" width="14.28515625" style="84" customWidth="1"/>
    <col min="14852" max="14852" width="59.28515625" style="84" customWidth="1"/>
    <col min="14853" max="14853" width="15.85546875" style="84" customWidth="1"/>
    <col min="14854" max="14854" width="56.42578125" style="84" customWidth="1"/>
    <col min="14855" max="14855" width="12.85546875" style="84" customWidth="1"/>
    <col min="14856" max="14856" width="16.5703125" style="84" customWidth="1"/>
    <col min="14857" max="14857" width="16.85546875" style="84" customWidth="1"/>
    <col min="14858" max="15094" width="9.140625" style="84"/>
    <col min="15095" max="15095" width="7.140625" style="84" customWidth="1"/>
    <col min="15096" max="15096" width="18.85546875" style="84" customWidth="1"/>
    <col min="15097" max="15097" width="10.85546875" style="84" customWidth="1"/>
    <col min="15098" max="15105" width="0" style="84" hidden="1" customWidth="1"/>
    <col min="15106" max="15106" width="14.7109375" style="84" customWidth="1"/>
    <col min="15107" max="15107" width="14.28515625" style="84" customWidth="1"/>
    <col min="15108" max="15108" width="59.28515625" style="84" customWidth="1"/>
    <col min="15109" max="15109" width="15.85546875" style="84" customWidth="1"/>
    <col min="15110" max="15110" width="56.42578125" style="84" customWidth="1"/>
    <col min="15111" max="15111" width="12.85546875" style="84" customWidth="1"/>
    <col min="15112" max="15112" width="16.5703125" style="84" customWidth="1"/>
    <col min="15113" max="15113" width="16.85546875" style="84" customWidth="1"/>
    <col min="15114" max="15350" width="9.140625" style="84"/>
    <col min="15351" max="15351" width="7.140625" style="84" customWidth="1"/>
    <col min="15352" max="15352" width="18.85546875" style="84" customWidth="1"/>
    <col min="15353" max="15353" width="10.85546875" style="84" customWidth="1"/>
    <col min="15354" max="15361" width="0" style="84" hidden="1" customWidth="1"/>
    <col min="15362" max="15362" width="14.7109375" style="84" customWidth="1"/>
    <col min="15363" max="15363" width="14.28515625" style="84" customWidth="1"/>
    <col min="15364" max="15364" width="59.28515625" style="84" customWidth="1"/>
    <col min="15365" max="15365" width="15.85546875" style="84" customWidth="1"/>
    <col min="15366" max="15366" width="56.42578125" style="84" customWidth="1"/>
    <col min="15367" max="15367" width="12.85546875" style="84" customWidth="1"/>
    <col min="15368" max="15368" width="16.5703125" style="84" customWidth="1"/>
    <col min="15369" max="15369" width="16.85546875" style="84" customWidth="1"/>
    <col min="15370" max="15606" width="9.140625" style="84"/>
    <col min="15607" max="15607" width="7.140625" style="84" customWidth="1"/>
    <col min="15608" max="15608" width="18.85546875" style="84" customWidth="1"/>
    <col min="15609" max="15609" width="10.85546875" style="84" customWidth="1"/>
    <col min="15610" max="15617" width="0" style="84" hidden="1" customWidth="1"/>
    <col min="15618" max="15618" width="14.7109375" style="84" customWidth="1"/>
    <col min="15619" max="15619" width="14.28515625" style="84" customWidth="1"/>
    <col min="15620" max="15620" width="59.28515625" style="84" customWidth="1"/>
    <col min="15621" max="15621" width="15.85546875" style="84" customWidth="1"/>
    <col min="15622" max="15622" width="56.42578125" style="84" customWidth="1"/>
    <col min="15623" max="15623" width="12.85546875" style="84" customWidth="1"/>
    <col min="15624" max="15624" width="16.5703125" style="84" customWidth="1"/>
    <col min="15625" max="15625" width="16.85546875" style="84" customWidth="1"/>
    <col min="15626" max="15862" width="9.140625" style="84"/>
    <col min="15863" max="15863" width="7.140625" style="84" customWidth="1"/>
    <col min="15864" max="15864" width="18.85546875" style="84" customWidth="1"/>
    <col min="15865" max="15865" width="10.85546875" style="84" customWidth="1"/>
    <col min="15866" max="15873" width="0" style="84" hidden="1" customWidth="1"/>
    <col min="15874" max="15874" width="14.7109375" style="84" customWidth="1"/>
    <col min="15875" max="15875" width="14.28515625" style="84" customWidth="1"/>
    <col min="15876" max="15876" width="59.28515625" style="84" customWidth="1"/>
    <col min="15877" max="15877" width="15.85546875" style="84" customWidth="1"/>
    <col min="15878" max="15878" width="56.42578125" style="84" customWidth="1"/>
    <col min="15879" max="15879" width="12.85546875" style="84" customWidth="1"/>
    <col min="15880" max="15880" width="16.5703125" style="84" customWidth="1"/>
    <col min="15881" max="15881" width="16.85546875" style="84" customWidth="1"/>
    <col min="15882" max="16118" width="9.140625" style="84"/>
    <col min="16119" max="16119" width="7.140625" style="84" customWidth="1"/>
    <col min="16120" max="16120" width="18.85546875" style="84" customWidth="1"/>
    <col min="16121" max="16121" width="10.85546875" style="84" customWidth="1"/>
    <col min="16122" max="16129" width="0" style="84" hidden="1" customWidth="1"/>
    <col min="16130" max="16130" width="14.7109375" style="84" customWidth="1"/>
    <col min="16131" max="16131" width="14.28515625" style="84" customWidth="1"/>
    <col min="16132" max="16132" width="59.28515625" style="84" customWidth="1"/>
    <col min="16133" max="16133" width="15.85546875" style="84" customWidth="1"/>
    <col min="16134" max="16134" width="56.42578125" style="84" customWidth="1"/>
    <col min="16135" max="16135" width="12.85546875" style="84" customWidth="1"/>
    <col min="16136" max="16136" width="16.5703125" style="84" customWidth="1"/>
    <col min="16137" max="16137" width="16.85546875" style="84" customWidth="1"/>
    <col min="16138" max="16384" width="9.140625" style="84"/>
  </cols>
  <sheetData>
    <row r="1" spans="1:57" ht="39" customHeight="1">
      <c r="A1" s="387" t="s">
        <v>614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86"/>
      <c r="M1" s="86"/>
      <c r="N1" s="86"/>
    </row>
    <row r="2" spans="1:57">
      <c r="B2" s="86"/>
      <c r="C2" s="85"/>
      <c r="D2" s="88"/>
      <c r="E2" s="89"/>
      <c r="F2" s="89"/>
      <c r="G2" s="90"/>
      <c r="H2" s="91"/>
      <c r="I2" s="91"/>
      <c r="J2" s="85"/>
      <c r="K2" s="86"/>
      <c r="L2" s="86"/>
      <c r="M2" s="86"/>
      <c r="N2" s="86"/>
    </row>
    <row r="3" spans="1:57" ht="38.25" customHeight="1">
      <c r="A3" s="140" t="s">
        <v>0</v>
      </c>
      <c r="B3" s="150" t="s">
        <v>477</v>
      </c>
      <c r="C3" s="150" t="s">
        <v>478</v>
      </c>
      <c r="D3" s="96" t="s">
        <v>564</v>
      </c>
      <c r="E3" s="100" t="s">
        <v>573</v>
      </c>
      <c r="F3" s="92" t="s">
        <v>574</v>
      </c>
      <c r="G3" s="165" t="s">
        <v>480</v>
      </c>
      <c r="H3" s="92" t="s">
        <v>479</v>
      </c>
      <c r="I3" s="93" t="s">
        <v>481</v>
      </c>
      <c r="J3" s="94" t="s">
        <v>482</v>
      </c>
      <c r="K3" s="94" t="s">
        <v>14</v>
      </c>
      <c r="L3" s="95"/>
      <c r="M3" s="95"/>
      <c r="N3" s="95"/>
    </row>
    <row r="4" spans="1:57" ht="19.5" hidden="1" customHeight="1">
      <c r="A4" s="97"/>
      <c r="B4" s="98" t="s">
        <v>483</v>
      </c>
      <c r="C4" s="98" t="s">
        <v>3</v>
      </c>
      <c r="D4" s="99"/>
      <c r="E4" s="101"/>
      <c r="F4" s="166">
        <v>107.4</v>
      </c>
      <c r="G4" s="103">
        <v>105.8</v>
      </c>
      <c r="H4" s="102">
        <v>105.8</v>
      </c>
      <c r="I4" s="102">
        <v>105.5</v>
      </c>
      <c r="J4" s="94"/>
      <c r="K4" s="263"/>
      <c r="L4" s="95"/>
      <c r="M4" s="95"/>
      <c r="N4" s="95"/>
    </row>
    <row r="5" spans="1:57" s="111" customFormat="1" ht="51">
      <c r="A5" s="97">
        <v>1</v>
      </c>
      <c r="B5" s="265" t="s">
        <v>484</v>
      </c>
      <c r="C5" s="104" t="s">
        <v>6</v>
      </c>
      <c r="D5" s="107">
        <v>24376.422235185673</v>
      </c>
      <c r="E5" s="106">
        <f>E6+E10+E23+E26+E28+E29</f>
        <v>22445.040882246125</v>
      </c>
      <c r="F5" s="106">
        <f>F6+F10+F23+F26+F28+F29</f>
        <v>28437.905880363513</v>
      </c>
      <c r="G5" s="108">
        <f>G6+G10+G23+G26+G28+G29</f>
        <v>11098.733800215588</v>
      </c>
      <c r="H5" s="107">
        <v>24376.422235185673</v>
      </c>
      <c r="I5" s="107">
        <v>25787.368432025789</v>
      </c>
      <c r="J5" s="109" t="e">
        <f>G5-#REF!</f>
        <v>#REF!</v>
      </c>
      <c r="K5" s="264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</row>
    <row r="6" spans="1:57" s="111" customFormat="1" ht="15.75">
      <c r="A6" s="97" t="s">
        <v>154</v>
      </c>
      <c r="B6" s="265" t="s">
        <v>485</v>
      </c>
      <c r="C6" s="104" t="s">
        <v>6</v>
      </c>
      <c r="D6" s="107">
        <v>18656.081395220266</v>
      </c>
      <c r="E6" s="106">
        <f>E7*E8</f>
        <v>16537.102610626498</v>
      </c>
      <c r="F6" s="106">
        <f>F7*F8</f>
        <v>17323.591585179129</v>
      </c>
      <c r="G6" s="108">
        <f>G7*G8</f>
        <v>0</v>
      </c>
      <c r="H6" s="107">
        <v>18656.081395220266</v>
      </c>
      <c r="I6" s="107">
        <v>19812.758441723923</v>
      </c>
      <c r="J6" s="109" t="e">
        <f>G6-#REF!</f>
        <v>#REF!</v>
      </c>
      <c r="K6" s="264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</row>
    <row r="7" spans="1:57" s="120" customFormat="1" ht="25.5">
      <c r="A7" s="112" t="s">
        <v>486</v>
      </c>
      <c r="B7" s="113" t="s">
        <v>487</v>
      </c>
      <c r="C7" s="113" t="s">
        <v>488</v>
      </c>
      <c r="D7" s="117">
        <v>1135.9845097606599</v>
      </c>
      <c r="E7" s="114">
        <f>'[3]ТЕПЛОНОСИТЕЛЬ 2018'!$H$7</f>
        <v>1001.64158756066</v>
      </c>
      <c r="F7" s="114">
        <f>E7</f>
        <v>1001.64158756066</v>
      </c>
      <c r="G7" s="118"/>
      <c r="H7" s="117"/>
      <c r="I7" s="117"/>
      <c r="J7" s="109"/>
      <c r="K7" s="268" t="s">
        <v>577</v>
      </c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</row>
    <row r="8" spans="1:57" s="120" customFormat="1" ht="49.5" customHeight="1">
      <c r="A8" s="112" t="s">
        <v>489</v>
      </c>
      <c r="B8" s="113" t="s">
        <v>490</v>
      </c>
      <c r="C8" s="113" t="s">
        <v>491</v>
      </c>
      <c r="D8" s="122">
        <v>16.4228308</v>
      </c>
      <c r="E8" s="121">
        <f>'[3]ТЕПЛОНОСИТЕЛЬ 2018'!$H$8</f>
        <v>16.510000000000002</v>
      </c>
      <c r="F8" s="121">
        <f>16.63*1.04</f>
        <v>17.295200000000001</v>
      </c>
      <c r="G8" s="123"/>
      <c r="H8" s="122"/>
      <c r="I8" s="122"/>
      <c r="J8" s="109"/>
      <c r="K8" s="268" t="s">
        <v>593</v>
      </c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</row>
    <row r="9" spans="1:57" ht="15.75" hidden="1">
      <c r="A9" s="97"/>
      <c r="B9" s="98" t="s">
        <v>492</v>
      </c>
      <c r="C9" s="98" t="s">
        <v>3</v>
      </c>
      <c r="D9" s="127">
        <v>1.1005747950643345</v>
      </c>
      <c r="E9" s="124"/>
      <c r="F9" s="126">
        <v>1.1005747950643345</v>
      </c>
      <c r="G9" s="128"/>
      <c r="H9" s="127">
        <v>1.1005747950643345</v>
      </c>
      <c r="I9" s="129"/>
      <c r="J9" s="109" t="e">
        <f>G9-#REF!</f>
        <v>#REF!</v>
      </c>
      <c r="K9" s="269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</row>
    <row r="10" spans="1:57" s="133" customFormat="1" ht="38.25">
      <c r="A10" s="97" t="s">
        <v>156</v>
      </c>
      <c r="B10" s="265" t="s">
        <v>493</v>
      </c>
      <c r="C10" s="104" t="s">
        <v>494</v>
      </c>
      <c r="D10" s="131">
        <v>1091.1993192375</v>
      </c>
      <c r="E10" s="106">
        <f>E11+E14+E15+E22</f>
        <v>1097.8415135999999</v>
      </c>
      <c r="F10" s="106">
        <f>F11+F14+F15+F22</f>
        <v>1615.5404094915255</v>
      </c>
      <c r="G10" s="108">
        <f>G11+G14+G15</f>
        <v>1049.0310291525423</v>
      </c>
      <c r="H10" s="131">
        <v>1091.1993192375</v>
      </c>
      <c r="I10" s="131">
        <v>1139.7031289776069</v>
      </c>
      <c r="J10" s="109" t="e">
        <f>G10-#REF!</f>
        <v>#REF!</v>
      </c>
      <c r="K10" s="27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</row>
    <row r="11" spans="1:57" s="133" customFormat="1" ht="15.75">
      <c r="A11" s="97" t="s">
        <v>495</v>
      </c>
      <c r="B11" s="265" t="s">
        <v>496</v>
      </c>
      <c r="C11" s="104" t="s">
        <v>497</v>
      </c>
      <c r="D11" s="131">
        <v>56.686370400000001</v>
      </c>
      <c r="E11" s="106">
        <f>E12*E13/1000</f>
        <v>70.355999999999995</v>
      </c>
      <c r="F11" s="106">
        <f>F12*F13/1000</f>
        <v>73.170240000000007</v>
      </c>
      <c r="G11" s="108">
        <f>G12*G13/1000</f>
        <v>0</v>
      </c>
      <c r="H11" s="131">
        <v>56.686370400000001</v>
      </c>
      <c r="I11" s="131">
        <v>59.206079564279996</v>
      </c>
      <c r="J11" s="109" t="e">
        <f>G11-#REF!</f>
        <v>#REF!</v>
      </c>
      <c r="K11" s="27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</row>
    <row r="12" spans="1:57" s="138" customFormat="1" ht="25.5">
      <c r="A12" s="112" t="s">
        <v>498</v>
      </c>
      <c r="B12" s="115" t="s">
        <v>499</v>
      </c>
      <c r="C12" s="115" t="s">
        <v>500</v>
      </c>
      <c r="D12" s="117">
        <v>451</v>
      </c>
      <c r="E12" s="134">
        <f>'[3]ТЕПЛОНОСИТЕЛЬ 2018'!$H$12</f>
        <v>451</v>
      </c>
      <c r="F12" s="135">
        <f>E12</f>
        <v>451</v>
      </c>
      <c r="G12" s="136"/>
      <c r="H12" s="117">
        <v>451</v>
      </c>
      <c r="I12" s="117">
        <v>451</v>
      </c>
      <c r="J12" s="109"/>
      <c r="K12" s="268" t="s">
        <v>577</v>
      </c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</row>
    <row r="13" spans="1:57" s="138" customFormat="1" ht="25.5">
      <c r="A13" s="112" t="s">
        <v>501</v>
      </c>
      <c r="B13" s="115" t="s">
        <v>502</v>
      </c>
      <c r="C13" s="115" t="s">
        <v>503</v>
      </c>
      <c r="D13" s="139">
        <v>125.6904</v>
      </c>
      <c r="E13" s="114">
        <f>'[3]ТЕПЛОНОСИТЕЛЬ 2018'!$H$13</f>
        <v>156</v>
      </c>
      <c r="F13" s="135">
        <f>E13*1.04</f>
        <v>162.24</v>
      </c>
      <c r="G13" s="118"/>
      <c r="H13" s="139">
        <v>125.6904</v>
      </c>
      <c r="I13" s="139">
        <v>131.27733827999998</v>
      </c>
      <c r="J13" s="109"/>
      <c r="K13" s="268" t="s">
        <v>596</v>
      </c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</row>
    <row r="14" spans="1:57" s="133" customFormat="1" ht="68.25" customHeight="1">
      <c r="A14" s="97" t="s">
        <v>504</v>
      </c>
      <c r="B14" s="265" t="s">
        <v>505</v>
      </c>
      <c r="C14" s="104" t="s">
        <v>6</v>
      </c>
      <c r="D14" s="131">
        <v>683.89350300150011</v>
      </c>
      <c r="E14" s="105">
        <f>'[3]ТЕПЛОНОСИТЕЛЬ 2018'!$H$14</f>
        <v>679.3498816</v>
      </c>
      <c r="F14" s="260">
        <f>1169.9968/1.18</f>
        <v>991.52271186440669</v>
      </c>
      <c r="G14" s="108">
        <f>F14*G4/100</f>
        <v>1049.0310291525423</v>
      </c>
      <c r="H14" s="131">
        <v>683.89350300150011</v>
      </c>
      <c r="I14" s="131">
        <v>714.29256920991668</v>
      </c>
      <c r="J14" s="109" t="e">
        <f>G14-#REF!</f>
        <v>#REF!</v>
      </c>
      <c r="K14" s="269" t="s">
        <v>595</v>
      </c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</row>
    <row r="15" spans="1:57" s="133" customFormat="1" ht="15.75">
      <c r="A15" s="97" t="s">
        <v>506</v>
      </c>
      <c r="B15" s="265" t="s">
        <v>507</v>
      </c>
      <c r="C15" s="104" t="s">
        <v>6</v>
      </c>
      <c r="D15" s="131">
        <v>350.61944583599995</v>
      </c>
      <c r="E15" s="105">
        <f>E16*E17/1000</f>
        <v>348.13563199999999</v>
      </c>
      <c r="F15" s="260">
        <f>650/1.18</f>
        <v>550.84745762711873</v>
      </c>
      <c r="G15" s="108">
        <f>G16*G17/1000</f>
        <v>0</v>
      </c>
      <c r="H15" s="131">
        <v>350.61944583599995</v>
      </c>
      <c r="I15" s="131">
        <v>366.20448020341013</v>
      </c>
      <c r="J15" s="109" t="e">
        <f>G15-#REF!</f>
        <v>#REF!</v>
      </c>
      <c r="K15" s="269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</row>
    <row r="16" spans="1:57" s="138" customFormat="1" ht="25.5">
      <c r="A16" s="112" t="s">
        <v>508</v>
      </c>
      <c r="B16" s="115" t="s">
        <v>499</v>
      </c>
      <c r="C16" s="115" t="s">
        <v>509</v>
      </c>
      <c r="D16" s="122">
        <v>5.2</v>
      </c>
      <c r="E16" s="121">
        <v>5.2</v>
      </c>
      <c r="F16" s="258">
        <f>E16</f>
        <v>5.2</v>
      </c>
      <c r="G16" s="123"/>
      <c r="H16" s="122">
        <v>5.2</v>
      </c>
      <c r="I16" s="122">
        <v>5.2</v>
      </c>
      <c r="J16" s="109"/>
      <c r="K16" s="268" t="str">
        <f>K12</f>
        <v>Объем принят в размере, учтенном в действующем тарифе Предприятия.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</row>
    <row r="17" spans="1:57" s="138" customFormat="1" ht="38.25">
      <c r="A17" s="112" t="s">
        <v>510</v>
      </c>
      <c r="B17" s="115" t="s">
        <v>502</v>
      </c>
      <c r="C17" s="115" t="s">
        <v>4</v>
      </c>
      <c r="D17" s="139">
        <v>67426.816506923074</v>
      </c>
      <c r="E17" s="114">
        <f>'[3]ТЕПЛОНОСИТЕЛЬ 2018'!$H$17</f>
        <v>66949.159999999989</v>
      </c>
      <c r="F17" s="258">
        <f>F15/F16*1000</f>
        <v>105932.20338983052</v>
      </c>
      <c r="G17" s="118"/>
      <c r="H17" s="139">
        <v>67426.816506923074</v>
      </c>
      <c r="I17" s="139">
        <v>70423.9385006558</v>
      </c>
      <c r="J17" s="109"/>
      <c r="K17" s="268" t="s">
        <v>594</v>
      </c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</row>
    <row r="18" spans="1:57" ht="25.5" hidden="1">
      <c r="A18" s="140" t="s">
        <v>158</v>
      </c>
      <c r="B18" s="125" t="s">
        <v>511</v>
      </c>
      <c r="C18" s="125" t="s">
        <v>6</v>
      </c>
      <c r="D18" s="129"/>
      <c r="E18" s="141"/>
      <c r="F18" s="142">
        <v>0</v>
      </c>
      <c r="G18" s="103"/>
      <c r="H18" s="129"/>
      <c r="I18" s="129"/>
      <c r="J18" s="109" t="e">
        <f>G18-#REF!</f>
        <v>#REF!</v>
      </c>
      <c r="K18" s="269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</row>
    <row r="19" spans="1:57" ht="15.75" hidden="1">
      <c r="A19" s="140" t="s">
        <v>12</v>
      </c>
      <c r="B19" s="144" t="s">
        <v>512</v>
      </c>
      <c r="C19" s="144" t="s">
        <v>513</v>
      </c>
      <c r="D19" s="129"/>
      <c r="E19" s="141"/>
      <c r="F19" s="142">
        <v>0</v>
      </c>
      <c r="G19" s="103"/>
      <c r="H19" s="129"/>
      <c r="I19" s="129"/>
      <c r="J19" s="109" t="e">
        <f>G19-#REF!</f>
        <v>#REF!</v>
      </c>
      <c r="K19" s="269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</row>
    <row r="20" spans="1:57" ht="15.75" hidden="1">
      <c r="A20" s="140" t="s">
        <v>12</v>
      </c>
      <c r="B20" s="144" t="s">
        <v>514</v>
      </c>
      <c r="C20" s="144" t="s">
        <v>515</v>
      </c>
      <c r="D20" s="129"/>
      <c r="E20" s="145"/>
      <c r="F20" s="146">
        <v>0</v>
      </c>
      <c r="G20" s="147"/>
      <c r="H20" s="129"/>
      <c r="I20" s="129"/>
      <c r="J20" s="109" t="e">
        <f>G20-#REF!</f>
        <v>#REF!</v>
      </c>
      <c r="K20" s="269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</row>
    <row r="21" spans="1:57" ht="36.75" hidden="1" customHeight="1">
      <c r="A21" s="140" t="s">
        <v>12</v>
      </c>
      <c r="B21" s="98" t="s">
        <v>516</v>
      </c>
      <c r="C21" s="98" t="s">
        <v>3</v>
      </c>
      <c r="D21" s="129"/>
      <c r="E21" s="124"/>
      <c r="F21" s="148">
        <v>103.6</v>
      </c>
      <c r="G21" s="149"/>
      <c r="H21" s="129"/>
      <c r="I21" s="129"/>
      <c r="J21" s="109" t="e">
        <f>G21-#REF!</f>
        <v>#REF!</v>
      </c>
      <c r="K21" s="269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</row>
    <row r="22" spans="1:57" ht="27" customHeight="1">
      <c r="A22" s="140" t="s">
        <v>517</v>
      </c>
      <c r="B22" s="153" t="s">
        <v>518</v>
      </c>
      <c r="C22" s="150" t="s">
        <v>6</v>
      </c>
      <c r="D22" s="129"/>
      <c r="E22" s="151">
        <v>0</v>
      </c>
      <c r="F22" s="142">
        <f>E22</f>
        <v>0</v>
      </c>
      <c r="G22" s="103"/>
      <c r="H22" s="129"/>
      <c r="I22" s="129"/>
      <c r="J22" s="109" t="e">
        <f>G22-#REF!</f>
        <v>#REF!</v>
      </c>
      <c r="K22" s="269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</row>
    <row r="23" spans="1:57" s="152" customFormat="1" ht="25.5">
      <c r="A23" s="97" t="s">
        <v>9</v>
      </c>
      <c r="B23" s="265" t="s">
        <v>519</v>
      </c>
      <c r="C23" s="104" t="s">
        <v>6</v>
      </c>
      <c r="D23" s="131">
        <v>2986.3475560334055</v>
      </c>
      <c r="E23" s="105">
        <f>E24*12*E25/1000</f>
        <v>3074.9041571011699</v>
      </c>
      <c r="F23" s="105">
        <f>F24*12*F25/1000</f>
        <v>6651.2592000000004</v>
      </c>
      <c r="G23" s="108">
        <f>G24*G25*12/1000</f>
        <v>7037.0322336000017</v>
      </c>
      <c r="H23" s="131">
        <v>2986.3475560334055</v>
      </c>
      <c r="I23" s="131">
        <v>3119.0907048990898</v>
      </c>
      <c r="J23" s="109" t="e">
        <f>G23-#REF!</f>
        <v>#REF!</v>
      </c>
      <c r="K23" s="27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</row>
    <row r="24" spans="1:57" s="120" customFormat="1" ht="15.75">
      <c r="A24" s="112" t="s">
        <v>10</v>
      </c>
      <c r="B24" s="153" t="s">
        <v>520</v>
      </c>
      <c r="C24" s="153" t="s">
        <v>5</v>
      </c>
      <c r="D24" s="117">
        <v>12</v>
      </c>
      <c r="E24" s="114">
        <v>12</v>
      </c>
      <c r="F24" s="116">
        <v>12</v>
      </c>
      <c r="G24" s="118">
        <f>F24</f>
        <v>12</v>
      </c>
      <c r="H24" s="117">
        <v>12</v>
      </c>
      <c r="I24" s="117">
        <v>12</v>
      </c>
      <c r="J24" s="109" t="e">
        <f>G24-#REF!</f>
        <v>#REF!</v>
      </c>
      <c r="K24" s="271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</row>
    <row r="25" spans="1:57" s="120" customFormat="1" ht="51">
      <c r="A25" s="112" t="s">
        <v>521</v>
      </c>
      <c r="B25" s="153" t="s">
        <v>522</v>
      </c>
      <c r="C25" s="153" t="s">
        <v>523</v>
      </c>
      <c r="D25" s="139">
        <v>20738.524694676427</v>
      </c>
      <c r="E25" s="114">
        <f>'[3]ТЕПЛОНОСИТЕЛЬ 2018'!$H$25</f>
        <v>21353.501090980346</v>
      </c>
      <c r="F25" s="116">
        <v>46189.3</v>
      </c>
      <c r="G25" s="118">
        <f>F25*G4/100</f>
        <v>48868.279400000007</v>
      </c>
      <c r="H25" s="139">
        <v>20738.524694676427</v>
      </c>
      <c r="I25" s="139">
        <v>21660.352117354792</v>
      </c>
      <c r="J25" s="109" t="e">
        <f>G25-#REF!</f>
        <v>#REF!</v>
      </c>
      <c r="K25" s="268" t="s">
        <v>604</v>
      </c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</row>
    <row r="26" spans="1:57" s="111" customFormat="1" ht="25.5">
      <c r="A26" s="97" t="s">
        <v>11</v>
      </c>
      <c r="B26" s="266" t="s">
        <v>524</v>
      </c>
      <c r="C26" s="104" t="s">
        <v>6</v>
      </c>
      <c r="D26" s="107">
        <v>901.87696192208841</v>
      </c>
      <c r="E26" s="105">
        <f>E23*0.302</f>
        <v>928.62105544455324</v>
      </c>
      <c r="F26" s="106">
        <f>F23*30.2%</f>
        <v>2008.6802784000001</v>
      </c>
      <c r="G26" s="108">
        <f>G23*30.2%</f>
        <v>2125.1837345472004</v>
      </c>
      <c r="H26" s="107">
        <v>901.87696192208841</v>
      </c>
      <c r="I26" s="107">
        <v>941.9653928795251</v>
      </c>
      <c r="J26" s="109" t="e">
        <f>G26-#REF!</f>
        <v>#REF!</v>
      </c>
      <c r="K26" s="27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</row>
    <row r="27" spans="1:57" ht="25.5" hidden="1">
      <c r="A27" s="140" t="s">
        <v>525</v>
      </c>
      <c r="B27" s="267" t="s">
        <v>526</v>
      </c>
      <c r="C27" s="125" t="s">
        <v>6</v>
      </c>
      <c r="D27" s="154"/>
      <c r="E27" s="141"/>
      <c r="F27" s="141"/>
      <c r="G27" s="155"/>
      <c r="H27" s="154"/>
      <c r="I27" s="154"/>
      <c r="J27" s="109" t="e">
        <f>G27-#REF!</f>
        <v>#REF!</v>
      </c>
      <c r="K27" s="269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</row>
    <row r="28" spans="1:57" s="111" customFormat="1" ht="38.25">
      <c r="A28" s="97" t="s">
        <v>527</v>
      </c>
      <c r="B28" s="265" t="s">
        <v>528</v>
      </c>
      <c r="C28" s="104" t="s">
        <v>6</v>
      </c>
      <c r="D28" s="131">
        <v>17.313149460250518</v>
      </c>
      <c r="E28" s="105">
        <f>'[3]ТЕПЛОНОСИТЕЛЬ 2018'!$H$28</f>
        <v>1.5060968000000001</v>
      </c>
      <c r="F28" s="106">
        <f>E28*1.04</f>
        <v>1.5663406720000002</v>
      </c>
      <c r="G28" s="108">
        <f>F28*G4/100</f>
        <v>1.6571884309760001</v>
      </c>
      <c r="H28" s="131">
        <v>17.313149460250518</v>
      </c>
      <c r="I28" s="131">
        <v>18.082718953758651</v>
      </c>
      <c r="J28" s="109" t="e">
        <f>G28-#REF!</f>
        <v>#REF!</v>
      </c>
      <c r="K28" s="268" t="s">
        <v>583</v>
      </c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</row>
    <row r="29" spans="1:57" s="111" customFormat="1" ht="25.5">
      <c r="A29" s="97" t="s">
        <v>529</v>
      </c>
      <c r="B29" s="265" t="s">
        <v>530</v>
      </c>
      <c r="C29" s="104" t="s">
        <v>6</v>
      </c>
      <c r="D29" s="131">
        <v>723.60385331216355</v>
      </c>
      <c r="E29" s="105">
        <f>E34</f>
        <v>805.06544867390221</v>
      </c>
      <c r="F29" s="106">
        <f>F34+F38</f>
        <v>837.26806662085835</v>
      </c>
      <c r="G29" s="108">
        <f>G34+G38</f>
        <v>885.82961448486822</v>
      </c>
      <c r="H29" s="131">
        <v>723.60385331216355</v>
      </c>
      <c r="I29" s="131">
        <v>755.76804459188918</v>
      </c>
      <c r="J29" s="109" t="e">
        <f>G29-#REF!</f>
        <v>#REF!</v>
      </c>
      <c r="K29" s="27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</row>
    <row r="30" spans="1:57" ht="15.75" hidden="1">
      <c r="A30" s="140" t="s">
        <v>12</v>
      </c>
      <c r="B30" s="125" t="s">
        <v>531</v>
      </c>
      <c r="C30" s="125" t="s">
        <v>6</v>
      </c>
      <c r="D30" s="129"/>
      <c r="E30" s="141"/>
      <c r="F30" s="142"/>
      <c r="G30" s="103"/>
      <c r="H30" s="129"/>
      <c r="I30" s="129"/>
      <c r="J30" s="109" t="e">
        <f>G30-#REF!</f>
        <v>#REF!</v>
      </c>
      <c r="K30" s="26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</row>
    <row r="31" spans="1:57" ht="15.75" hidden="1">
      <c r="A31" s="140"/>
      <c r="B31" s="125" t="s">
        <v>532</v>
      </c>
      <c r="C31" s="125" t="s">
        <v>6</v>
      </c>
      <c r="D31" s="129"/>
      <c r="E31" s="141"/>
      <c r="F31" s="142"/>
      <c r="G31" s="103"/>
      <c r="H31" s="129"/>
      <c r="I31" s="129"/>
      <c r="J31" s="109" t="e">
        <f>G31-#REF!</f>
        <v>#REF!</v>
      </c>
      <c r="K31" s="26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</row>
    <row r="32" spans="1:57" ht="25.5" hidden="1">
      <c r="A32" s="140"/>
      <c r="B32" s="125" t="s">
        <v>533</v>
      </c>
      <c r="C32" s="125" t="s">
        <v>6</v>
      </c>
      <c r="D32" s="129"/>
      <c r="E32" s="141"/>
      <c r="F32" s="142"/>
      <c r="G32" s="103"/>
      <c r="H32" s="129"/>
      <c r="I32" s="129"/>
      <c r="J32" s="109" t="e">
        <f>G32-#REF!</f>
        <v>#REF!</v>
      </c>
      <c r="K32" s="269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</row>
    <row r="33" spans="1:57" ht="25.5" hidden="1">
      <c r="A33" s="140" t="s">
        <v>12</v>
      </c>
      <c r="B33" s="125" t="s">
        <v>534</v>
      </c>
      <c r="C33" s="125" t="s">
        <v>6</v>
      </c>
      <c r="D33" s="129"/>
      <c r="E33" s="141"/>
      <c r="F33" s="142"/>
      <c r="G33" s="103"/>
      <c r="H33" s="129"/>
      <c r="I33" s="129"/>
      <c r="J33" s="109" t="e">
        <f>G33-#REF!</f>
        <v>#REF!</v>
      </c>
      <c r="K33" s="26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</row>
    <row r="34" spans="1:57" s="120" customFormat="1" ht="38.25">
      <c r="A34" s="112" t="s">
        <v>535</v>
      </c>
      <c r="B34" s="115" t="s">
        <v>536</v>
      </c>
      <c r="C34" s="115" t="s">
        <v>6</v>
      </c>
      <c r="D34" s="139">
        <v>723.60385331216355</v>
      </c>
      <c r="E34" s="114">
        <f>'[3]ТЕПЛОНОСИТЕЛЬ 2018'!$H$34</f>
        <v>805.06544867390221</v>
      </c>
      <c r="F34" s="116">
        <f>E34*1.04</f>
        <v>837.26806662085835</v>
      </c>
      <c r="G34" s="118">
        <f>F34*G4%</f>
        <v>885.82961448486822</v>
      </c>
      <c r="H34" s="139">
        <v>723.60385331216355</v>
      </c>
      <c r="I34" s="139">
        <v>755.76804459188918</v>
      </c>
      <c r="J34" s="109" t="e">
        <f>G34-#REF!</f>
        <v>#REF!</v>
      </c>
      <c r="K34" s="268" t="str">
        <f>K28</f>
        <v>Расходы приняты согласно представленному договору, заключенному с ООО "СЭМ" на 2019 год на основании проведенного открытого конкурса.</v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</row>
    <row r="35" spans="1:57" s="120" customFormat="1" ht="15.75" hidden="1">
      <c r="A35" s="112"/>
      <c r="B35" s="115" t="s">
        <v>13</v>
      </c>
      <c r="C35" s="115" t="s">
        <v>6</v>
      </c>
      <c r="D35" s="117"/>
      <c r="E35" s="114"/>
      <c r="F35" s="116"/>
      <c r="G35" s="118"/>
      <c r="H35" s="117"/>
      <c r="I35" s="117"/>
      <c r="J35" s="109" t="e">
        <f>G35-#REF!</f>
        <v>#REF!</v>
      </c>
      <c r="K35" s="271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</row>
    <row r="36" spans="1:57" s="120" customFormat="1" ht="25.5" hidden="1">
      <c r="A36" s="112"/>
      <c r="B36" s="115" t="s">
        <v>537</v>
      </c>
      <c r="C36" s="115" t="s">
        <v>6</v>
      </c>
      <c r="D36" s="117"/>
      <c r="E36" s="114"/>
      <c r="F36" s="116"/>
      <c r="G36" s="118"/>
      <c r="H36" s="117"/>
      <c r="I36" s="117"/>
      <c r="J36" s="109" t="e">
        <f>G36-#REF!</f>
        <v>#REF!</v>
      </c>
      <c r="K36" s="271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</row>
    <row r="37" spans="1:57" s="120" customFormat="1" ht="15.75" hidden="1">
      <c r="A37" s="112"/>
      <c r="B37" s="115" t="s">
        <v>538</v>
      </c>
      <c r="C37" s="115" t="s">
        <v>6</v>
      </c>
      <c r="D37" s="117"/>
      <c r="E37" s="114"/>
      <c r="F37" s="116"/>
      <c r="G37" s="118"/>
      <c r="H37" s="117"/>
      <c r="I37" s="117"/>
      <c r="J37" s="109" t="e">
        <f>G37-#REF!</f>
        <v>#REF!</v>
      </c>
      <c r="K37" s="271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</row>
    <row r="38" spans="1:57" s="120" customFormat="1" ht="15.75" hidden="1">
      <c r="A38" s="112" t="s">
        <v>539</v>
      </c>
      <c r="B38" s="115" t="s">
        <v>243</v>
      </c>
      <c r="C38" s="115" t="s">
        <v>6</v>
      </c>
      <c r="D38" s="117">
        <v>0</v>
      </c>
      <c r="E38" s="114"/>
      <c r="F38" s="116">
        <v>0</v>
      </c>
      <c r="G38" s="118">
        <f>F38*G4%</f>
        <v>0</v>
      </c>
      <c r="H38" s="117">
        <v>0</v>
      </c>
      <c r="I38" s="117">
        <v>0</v>
      </c>
      <c r="J38" s="109" t="e">
        <f>G38-#REF!</f>
        <v>#REF!</v>
      </c>
      <c r="K38" s="271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</row>
    <row r="39" spans="1:57" s="111" customFormat="1" ht="15.75">
      <c r="A39" s="97" t="s">
        <v>540</v>
      </c>
      <c r="B39" s="265" t="s">
        <v>541</v>
      </c>
      <c r="C39" s="104" t="s">
        <v>6</v>
      </c>
      <c r="D39" s="107">
        <v>24376.422235185673</v>
      </c>
      <c r="E39" s="160">
        <f>E5</f>
        <v>22445.040882246125</v>
      </c>
      <c r="F39" s="160">
        <f>F5</f>
        <v>28437.905880363513</v>
      </c>
      <c r="G39" s="108">
        <f>G5</f>
        <v>11098.733800215588</v>
      </c>
      <c r="H39" s="107">
        <v>24376.422235185673</v>
      </c>
      <c r="I39" s="107">
        <v>25787.368432025789</v>
      </c>
      <c r="J39" s="109" t="e">
        <f>G39-#REF!</f>
        <v>#REF!</v>
      </c>
      <c r="K39" s="27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</row>
    <row r="40" spans="1:57" s="111" customFormat="1" ht="15.75">
      <c r="A40" s="97" t="s">
        <v>542</v>
      </c>
      <c r="B40" s="265" t="s">
        <v>543</v>
      </c>
      <c r="C40" s="104" t="s">
        <v>6</v>
      </c>
      <c r="D40" s="107">
        <v>0</v>
      </c>
      <c r="E40" s="105">
        <v>0</v>
      </c>
      <c r="F40" s="106">
        <v>0</v>
      </c>
      <c r="G40" s="108">
        <v>0</v>
      </c>
      <c r="H40" s="107">
        <v>0</v>
      </c>
      <c r="I40" s="107">
        <v>0</v>
      </c>
      <c r="J40" s="109" t="e">
        <f>G40-#REF!</f>
        <v>#REF!</v>
      </c>
      <c r="K40" s="27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</row>
    <row r="41" spans="1:57" ht="32.25" hidden="1" customHeight="1">
      <c r="A41" s="140" t="s">
        <v>544</v>
      </c>
      <c r="B41" s="125" t="s">
        <v>281</v>
      </c>
      <c r="C41" s="125" t="s">
        <v>6</v>
      </c>
      <c r="D41" s="129"/>
      <c r="E41" s="141"/>
      <c r="F41" s="142">
        <v>0</v>
      </c>
      <c r="G41" s="103"/>
      <c r="H41" s="129"/>
      <c r="I41" s="129"/>
      <c r="J41" s="109" t="e">
        <f>G41-#REF!</f>
        <v>#REF!</v>
      </c>
      <c r="K41" s="269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</row>
    <row r="42" spans="1:57" s="111" customFormat="1" ht="25.5">
      <c r="A42" s="97" t="s">
        <v>545</v>
      </c>
      <c r="B42" s="265" t="s">
        <v>546</v>
      </c>
      <c r="C42" s="104" t="s">
        <v>6</v>
      </c>
      <c r="D42" s="107">
        <v>24376.422235185673</v>
      </c>
      <c r="E42" s="106">
        <f>E39+E40</f>
        <v>22445.040882246125</v>
      </c>
      <c r="F42" s="106">
        <f>F39+F40</f>
        <v>28437.905880363513</v>
      </c>
      <c r="G42" s="108">
        <f>G39+G40</f>
        <v>11098.733800215588</v>
      </c>
      <c r="H42" s="107">
        <v>24376.422235185673</v>
      </c>
      <c r="I42" s="107">
        <v>25787.368432025789</v>
      </c>
      <c r="J42" s="109" t="e">
        <f>G42-#REF!</f>
        <v>#REF!</v>
      </c>
      <c r="K42" s="27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10"/>
      <c r="AK42" s="110"/>
      <c r="AL42" s="110"/>
      <c r="AM42" s="110"/>
      <c r="AN42" s="110"/>
      <c r="AO42" s="110"/>
      <c r="AP42" s="110"/>
      <c r="AQ42" s="110"/>
      <c r="AR42" s="110"/>
      <c r="AS42" s="110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</row>
    <row r="43" spans="1:57" ht="38.25">
      <c r="A43" s="140" t="s">
        <v>547</v>
      </c>
      <c r="B43" s="267" t="s">
        <v>548</v>
      </c>
      <c r="C43" s="125" t="s">
        <v>549</v>
      </c>
      <c r="D43" s="154">
        <v>1117.1792897606599</v>
      </c>
      <c r="E43" s="141">
        <f>'[3]ТЕПЛОНОСИТЕЛЬ 2018'!$H$43</f>
        <v>982.83636756066005</v>
      </c>
      <c r="F43" s="142">
        <f>E43</f>
        <v>982.83636756066005</v>
      </c>
      <c r="G43" s="103">
        <f>F43</f>
        <v>982.83636756066005</v>
      </c>
      <c r="H43" s="154">
        <v>1117.1792897606599</v>
      </c>
      <c r="I43" s="154">
        <v>1117.1792897606599</v>
      </c>
      <c r="J43" s="109" t="e">
        <f>G43-#REF!</f>
        <v>#REF!</v>
      </c>
      <c r="K43" s="269" t="str">
        <f>K16</f>
        <v>Объем принят в размере, учтенном в действующем тарифе Предприятия.</v>
      </c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</row>
    <row r="44" spans="1:57" ht="75" customHeight="1">
      <c r="A44" s="140" t="s">
        <v>550</v>
      </c>
      <c r="B44" s="267" t="s">
        <v>551</v>
      </c>
      <c r="C44" s="125" t="s">
        <v>552</v>
      </c>
      <c r="D44" s="129">
        <v>21.819615220765488</v>
      </c>
      <c r="E44" s="160">
        <f>E42/E43</f>
        <v>22.837006874250438</v>
      </c>
      <c r="F44" s="160">
        <f>F42/F43</f>
        <v>28.934527474746037</v>
      </c>
      <c r="G44" s="147">
        <v>21.82</v>
      </c>
      <c r="H44" s="129">
        <v>21.819615220765488</v>
      </c>
      <c r="I44" s="129">
        <v>23.082569349768715</v>
      </c>
      <c r="J44" s="109" t="e">
        <f>G44-#REF!</f>
        <v>#REF!</v>
      </c>
      <c r="K44" s="269"/>
      <c r="L44" s="386"/>
      <c r="M44" s="386"/>
      <c r="N44" s="386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</row>
    <row r="45" spans="1:57" s="111" customFormat="1" ht="63.75" hidden="1">
      <c r="A45" s="97" t="s">
        <v>553</v>
      </c>
      <c r="B45" s="104" t="s">
        <v>554</v>
      </c>
      <c r="C45" s="104" t="s">
        <v>6</v>
      </c>
      <c r="D45" s="156">
        <v>17116.571486654313</v>
      </c>
      <c r="E45" s="105"/>
      <c r="F45" s="106" t="e">
        <f>#REF!</f>
        <v>#REF!</v>
      </c>
      <c r="G45" s="157">
        <f>G42-(I43-I46)*G44</f>
        <v>3838.7550274369896</v>
      </c>
      <c r="H45" s="156">
        <v>17116.571486654313</v>
      </c>
      <c r="I45" s="156">
        <v>18107.30594345976</v>
      </c>
      <c r="J45" s="109" t="e">
        <f>G45-#REF!</f>
        <v>#REF!</v>
      </c>
      <c r="K45" s="272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</row>
    <row r="46" spans="1:57" ht="51" hidden="1">
      <c r="A46" s="140" t="s">
        <v>555</v>
      </c>
      <c r="B46" s="125" t="s">
        <v>556</v>
      </c>
      <c r="C46" s="125" t="s">
        <v>549</v>
      </c>
      <c r="D46" s="154">
        <v>784.45798945000001</v>
      </c>
      <c r="E46" s="141"/>
      <c r="F46" s="142" t="e">
        <f>#REF!</f>
        <v>#REF!</v>
      </c>
      <c r="G46" s="103" t="e">
        <f>F46</f>
        <v>#REF!</v>
      </c>
      <c r="H46" s="154">
        <v>784.45798945000001</v>
      </c>
      <c r="I46" s="154">
        <v>784.45798945000001</v>
      </c>
      <c r="J46" s="109" t="e">
        <f>G46-#REF!</f>
        <v>#REF!</v>
      </c>
      <c r="K46" s="273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</row>
    <row r="47" spans="1:57" s="111" customFormat="1" ht="51" hidden="1">
      <c r="A47" s="97" t="s">
        <v>557</v>
      </c>
      <c r="B47" s="104" t="s">
        <v>558</v>
      </c>
      <c r="C47" s="104" t="s">
        <v>552</v>
      </c>
      <c r="D47" s="156">
        <v>21.819615220765488</v>
      </c>
      <c r="E47" s="158"/>
      <c r="F47" s="160" t="e">
        <f>F45/F46</f>
        <v>#REF!</v>
      </c>
      <c r="G47" s="161" t="e">
        <f>G45/G46</f>
        <v>#REF!</v>
      </c>
      <c r="H47" s="156">
        <v>21.819615220765488</v>
      </c>
      <c r="I47" s="156">
        <v>23.082569349768715</v>
      </c>
      <c r="J47" s="109"/>
      <c r="K47" s="272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32"/>
      <c r="AU47" s="132"/>
      <c r="AV47" s="132"/>
      <c r="AW47" s="132"/>
      <c r="AX47" s="132"/>
      <c r="AY47" s="132"/>
      <c r="AZ47" s="132"/>
      <c r="BA47" s="132"/>
      <c r="BB47" s="132"/>
      <c r="BC47" s="132"/>
      <c r="BD47" s="132"/>
      <c r="BE47" s="132"/>
    </row>
    <row r="48" spans="1:57" s="111" customFormat="1" ht="51" hidden="1">
      <c r="A48" s="97" t="s">
        <v>559</v>
      </c>
      <c r="B48" s="104" t="s">
        <v>560</v>
      </c>
      <c r="C48" s="104" t="s">
        <v>561</v>
      </c>
      <c r="D48" s="156">
        <v>21.819615220765488</v>
      </c>
      <c r="E48" s="159"/>
      <c r="F48" s="160" t="e">
        <f>F47</f>
        <v>#REF!</v>
      </c>
      <c r="G48" s="161" t="e">
        <f>G47</f>
        <v>#REF!</v>
      </c>
      <c r="H48" s="156">
        <v>21.819615220765488</v>
      </c>
      <c r="I48" s="156">
        <v>23.082569349768715</v>
      </c>
      <c r="J48" s="109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</row>
    <row r="49" spans="2:6" ht="50.25" customHeight="1"/>
    <row r="50" spans="2:6">
      <c r="B50" s="84" t="str">
        <f>'НВВ ТЭ 19'!B341</f>
        <v xml:space="preserve">Управляющий </v>
      </c>
      <c r="F50" s="1" t="str">
        <f>'НВВ ТЭ 19'!G341</f>
        <v>А.А.Галушка</v>
      </c>
    </row>
  </sheetData>
  <mergeCells count="2">
    <mergeCell ref="L44:N44"/>
    <mergeCell ref="A1:K1"/>
  </mergeCells>
  <pageMargins left="0.70866141732283472" right="0" top="0" bottom="0" header="0.31496062992125984" footer="0.31496062992125984"/>
  <pageSetup paperSize="9" scale="72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НВВ ТЭ 19</vt:lpstr>
      <vt:lpstr>НВВ ТН</vt:lpstr>
      <vt:lpstr>'НВВ ТН'!Область_печати</vt:lpstr>
      <vt:lpstr>'НВВ ТЭ 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Рузавина</cp:lastModifiedBy>
  <cp:lastPrinted>2018-04-25T07:04:41Z</cp:lastPrinted>
  <dcterms:created xsi:type="dcterms:W3CDTF">1996-10-08T23:32:33Z</dcterms:created>
  <dcterms:modified xsi:type="dcterms:W3CDTF">2020-10-19T06:34:03Z</dcterms:modified>
</cp:coreProperties>
</file>